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81"/>
  </bookViews>
  <sheets>
    <sheet name="СВОД за 2019" sheetId="15" r:id="rId1"/>
    <sheet name="МУ" sheetId="21" r:id="rId2"/>
    <sheet name="Предприним" sheetId="14" r:id="rId3"/>
    <sheet name="Гражданское общество" sheetId="16" r:id="rId4"/>
    <sheet name="отдельные категории" sheetId="17" r:id="rId5"/>
    <sheet name="Молодежная политика" sheetId="18" r:id="rId6"/>
    <sheet name="ФКГС" sheetId="19" r:id="rId7"/>
    <sheet name="ЖКХ" sheetId="20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2">Предприним!$8:$11</definedName>
    <definedName name="_xlnm.Print_Titles" localSheetId="0">'СВОД за 2019'!$6:$9</definedName>
    <definedName name="_xlnm.Print_Area" localSheetId="3">'Гражданское общество'!$A$1:$Q$42</definedName>
    <definedName name="_xlnm.Print_Area" localSheetId="7">ЖКХ!$A$1:$Q$232</definedName>
    <definedName name="_xlnm.Print_Area" localSheetId="5">'Молодежная политика'!$A$1:$Q$40</definedName>
    <definedName name="_xlnm.Print_Area" localSheetId="1">МУ!$A$1:$Q$85</definedName>
    <definedName name="_xlnm.Print_Area" localSheetId="2">Предприним!$A$1:$Q$36</definedName>
    <definedName name="_xlnm.Print_Area" localSheetId="0">'СВОД за 2019'!$A$1:$Q$36</definedName>
    <definedName name="_xlnm.Print_Area" localSheetId="6">ФКГС!$A$1:$Q$57</definedName>
  </definedNames>
  <calcPr calcId="125725" fullPrecision="0"/>
</workbook>
</file>

<file path=xl/calcChain.xml><?xml version="1.0" encoding="utf-8"?>
<calcChain xmlns="http://schemas.openxmlformats.org/spreadsheetml/2006/main">
  <c r="C36" i="15"/>
  <c r="Q17"/>
  <c r="Q22"/>
  <c r="Q21"/>
  <c r="Q19"/>
  <c r="D19"/>
  <c r="F241" i="20" l="1"/>
  <c r="D241"/>
  <c r="F240"/>
  <c r="D240"/>
  <c r="F239"/>
  <c r="D239"/>
  <c r="F238"/>
  <c r="D238"/>
  <c r="M230"/>
  <c r="H230"/>
  <c r="E230"/>
  <c r="E229" s="1"/>
  <c r="I229"/>
  <c r="H229"/>
  <c r="G229"/>
  <c r="F229"/>
  <c r="C229"/>
  <c r="N228"/>
  <c r="L228" s="1"/>
  <c r="H228"/>
  <c r="H227" s="1"/>
  <c r="F228"/>
  <c r="D228"/>
  <c r="D227" s="1"/>
  <c r="O227"/>
  <c r="O231" s="1"/>
  <c r="N227"/>
  <c r="N231" s="1"/>
  <c r="M227"/>
  <c r="L227"/>
  <c r="K227"/>
  <c r="K231" s="1"/>
  <c r="J227"/>
  <c r="J231" s="1"/>
  <c r="I227"/>
  <c r="I231" s="1"/>
  <c r="G227"/>
  <c r="G231" s="1"/>
  <c r="F227"/>
  <c r="F231" s="1"/>
  <c r="C227"/>
  <c r="C231" s="1"/>
  <c r="M226"/>
  <c r="L226"/>
  <c r="Q226" s="1"/>
  <c r="H226"/>
  <c r="D226"/>
  <c r="P226" s="1"/>
  <c r="O225"/>
  <c r="N225"/>
  <c r="M225"/>
  <c r="K225"/>
  <c r="J225"/>
  <c r="I225"/>
  <c r="H225"/>
  <c r="P225" s="1"/>
  <c r="G225"/>
  <c r="F225"/>
  <c r="E225"/>
  <c r="D225"/>
  <c r="C225"/>
  <c r="K223"/>
  <c r="N222"/>
  <c r="L222"/>
  <c r="H222"/>
  <c r="F222"/>
  <c r="N221"/>
  <c r="L221" s="1"/>
  <c r="Q221" s="1"/>
  <c r="H221"/>
  <c r="P221" s="1"/>
  <c r="F221"/>
  <c r="D221"/>
  <c r="M220"/>
  <c r="J220"/>
  <c r="H220" s="1"/>
  <c r="P220" s="1"/>
  <c r="I220"/>
  <c r="F220"/>
  <c r="E220"/>
  <c r="D220" s="1"/>
  <c r="N219"/>
  <c r="H219"/>
  <c r="P219" s="1"/>
  <c r="D219"/>
  <c r="M218"/>
  <c r="L218" s="1"/>
  <c r="Q218" s="1"/>
  <c r="H218"/>
  <c r="D218"/>
  <c r="O217"/>
  <c r="M217"/>
  <c r="M223" s="1"/>
  <c r="K217"/>
  <c r="J217"/>
  <c r="I217"/>
  <c r="G217"/>
  <c r="G223" s="1"/>
  <c r="E217"/>
  <c r="E223" s="1"/>
  <c r="C217"/>
  <c r="F216"/>
  <c r="D216"/>
  <c r="Q216" s="1"/>
  <c r="N215"/>
  <c r="L215"/>
  <c r="H215"/>
  <c r="F215"/>
  <c r="D215" s="1"/>
  <c r="P215" s="1"/>
  <c r="O214"/>
  <c r="N214"/>
  <c r="M214"/>
  <c r="K214"/>
  <c r="J214"/>
  <c r="I214"/>
  <c r="H214"/>
  <c r="C214"/>
  <c r="F214" s="1"/>
  <c r="D214" s="1"/>
  <c r="M213"/>
  <c r="J213"/>
  <c r="N213" s="1"/>
  <c r="I213"/>
  <c r="H213"/>
  <c r="L213" s="1"/>
  <c r="Q213" s="1"/>
  <c r="F213"/>
  <c r="E213"/>
  <c r="D213" s="1"/>
  <c r="C213"/>
  <c r="N212"/>
  <c r="L212"/>
  <c r="H212"/>
  <c r="D212"/>
  <c r="P212" s="1"/>
  <c r="M211"/>
  <c r="L211"/>
  <c r="Q211" s="1"/>
  <c r="H211"/>
  <c r="D211"/>
  <c r="P211" s="1"/>
  <c r="L210"/>
  <c r="J210"/>
  <c r="N210" s="1"/>
  <c r="H210"/>
  <c r="F210"/>
  <c r="D210"/>
  <c r="P210" s="1"/>
  <c r="N209"/>
  <c r="L209"/>
  <c r="H209"/>
  <c r="D209"/>
  <c r="P209" s="1"/>
  <c r="N208"/>
  <c r="L208"/>
  <c r="Q208" s="1"/>
  <c r="H208"/>
  <c r="F208"/>
  <c r="D208" s="1"/>
  <c r="P208" s="1"/>
  <c r="N207"/>
  <c r="L207" s="1"/>
  <c r="Q207" s="1"/>
  <c r="H207"/>
  <c r="P207" s="1"/>
  <c r="F207"/>
  <c r="D207"/>
  <c r="N206"/>
  <c r="L206"/>
  <c r="H206"/>
  <c r="F206"/>
  <c r="D206" s="1"/>
  <c r="P206" s="1"/>
  <c r="N205"/>
  <c r="L205" s="1"/>
  <c r="L202" s="1"/>
  <c r="Q202" s="1"/>
  <c r="H205"/>
  <c r="F205"/>
  <c r="D205"/>
  <c r="N204"/>
  <c r="L204"/>
  <c r="H204"/>
  <c r="F204"/>
  <c r="D204" s="1"/>
  <c r="D202" s="1"/>
  <c r="N203"/>
  <c r="L203" s="1"/>
  <c r="Q203" s="1"/>
  <c r="H203"/>
  <c r="P203" s="1"/>
  <c r="F203"/>
  <c r="D203"/>
  <c r="O202"/>
  <c r="M202"/>
  <c r="K202"/>
  <c r="J202"/>
  <c r="I202"/>
  <c r="G202"/>
  <c r="E202"/>
  <c r="C202"/>
  <c r="N201"/>
  <c r="L201" s="1"/>
  <c r="H201"/>
  <c r="F201"/>
  <c r="D201"/>
  <c r="Q201" s="1"/>
  <c r="J200"/>
  <c r="N200" s="1"/>
  <c r="L200" s="1"/>
  <c r="Q200" s="1"/>
  <c r="H200"/>
  <c r="P200" s="1"/>
  <c r="F200"/>
  <c r="D200"/>
  <c r="P199"/>
  <c r="L199"/>
  <c r="J199"/>
  <c r="N199" s="1"/>
  <c r="H199"/>
  <c r="F199"/>
  <c r="D199"/>
  <c r="J198"/>
  <c r="N198" s="1"/>
  <c r="L198" s="1"/>
  <c r="Q198" s="1"/>
  <c r="H198"/>
  <c r="P198" s="1"/>
  <c r="F198"/>
  <c r="D198"/>
  <c r="L197"/>
  <c r="J197"/>
  <c r="H197" s="1"/>
  <c r="F197"/>
  <c r="D197" s="1"/>
  <c r="N196"/>
  <c r="L196" s="1"/>
  <c r="Q196" s="1"/>
  <c r="J196"/>
  <c r="H196" s="1"/>
  <c r="P196" s="1"/>
  <c r="F196"/>
  <c r="D196" s="1"/>
  <c r="N195"/>
  <c r="L195" s="1"/>
  <c r="Q195" s="1"/>
  <c r="J195"/>
  <c r="H195" s="1"/>
  <c r="P195" s="1"/>
  <c r="F195"/>
  <c r="D195" s="1"/>
  <c r="N194"/>
  <c r="H194"/>
  <c r="C194"/>
  <c r="F194" s="1"/>
  <c r="D194" s="1"/>
  <c r="D193" s="1"/>
  <c r="O193"/>
  <c r="O191" s="1"/>
  <c r="M193"/>
  <c r="K193"/>
  <c r="J193"/>
  <c r="J191" s="1"/>
  <c r="I193"/>
  <c r="I191" s="1"/>
  <c r="I223" s="1"/>
  <c r="G193"/>
  <c r="E193"/>
  <c r="C193"/>
  <c r="F193" s="1"/>
  <c r="N192"/>
  <c r="L192"/>
  <c r="H192"/>
  <c r="F192"/>
  <c r="M191"/>
  <c r="K191"/>
  <c r="G191"/>
  <c r="E191"/>
  <c r="O184"/>
  <c r="N184"/>
  <c r="M184"/>
  <c r="L184"/>
  <c r="K184"/>
  <c r="J184"/>
  <c r="I184"/>
  <c r="H184"/>
  <c r="G184"/>
  <c r="F184"/>
  <c r="E184"/>
  <c r="C184"/>
  <c r="Q183"/>
  <c r="F183"/>
  <c r="D183" s="1"/>
  <c r="P183" s="1"/>
  <c r="F182"/>
  <c r="D182" s="1"/>
  <c r="C182"/>
  <c r="N181"/>
  <c r="L181"/>
  <c r="J181"/>
  <c r="H181"/>
  <c r="H180" s="1"/>
  <c r="D181"/>
  <c r="D180" s="1"/>
  <c r="O180"/>
  <c r="O179" s="1"/>
  <c r="N180"/>
  <c r="M180"/>
  <c r="M179" s="1"/>
  <c r="K180"/>
  <c r="K179" s="1"/>
  <c r="J180"/>
  <c r="I180"/>
  <c r="I179" s="1"/>
  <c r="G180"/>
  <c r="G179" s="1"/>
  <c r="F180"/>
  <c r="E180"/>
  <c r="E179" s="1"/>
  <c r="C180"/>
  <c r="N179"/>
  <c r="J179"/>
  <c r="H179"/>
  <c r="F179"/>
  <c r="F189" s="1"/>
  <c r="K178"/>
  <c r="O178" s="1"/>
  <c r="G178"/>
  <c r="F178"/>
  <c r="J178" s="1"/>
  <c r="N178" s="1"/>
  <c r="E178"/>
  <c r="D178" s="1"/>
  <c r="C178"/>
  <c r="G177"/>
  <c r="K177" s="1"/>
  <c r="O177" s="1"/>
  <c r="F177"/>
  <c r="D177" s="1"/>
  <c r="E177"/>
  <c r="I177" s="1"/>
  <c r="M177" s="1"/>
  <c r="C177"/>
  <c r="K176"/>
  <c r="O176" s="1"/>
  <c r="G176"/>
  <c r="F176"/>
  <c r="J176" s="1"/>
  <c r="N176" s="1"/>
  <c r="E176"/>
  <c r="C176"/>
  <c r="G175"/>
  <c r="K175" s="1"/>
  <c r="O175" s="1"/>
  <c r="F175"/>
  <c r="E175"/>
  <c r="I175" s="1"/>
  <c r="M175" s="1"/>
  <c r="C175"/>
  <c r="I174"/>
  <c r="G174"/>
  <c r="K174" s="1"/>
  <c r="O174" s="1"/>
  <c r="F174"/>
  <c r="J174" s="1"/>
  <c r="N174" s="1"/>
  <c r="E174"/>
  <c r="C174"/>
  <c r="J173"/>
  <c r="N173" s="1"/>
  <c r="G173"/>
  <c r="K173" s="1"/>
  <c r="O173" s="1"/>
  <c r="F173"/>
  <c r="E173"/>
  <c r="I173" s="1"/>
  <c r="D173"/>
  <c r="C173"/>
  <c r="O172"/>
  <c r="M172"/>
  <c r="I172"/>
  <c r="G172"/>
  <c r="K172" s="1"/>
  <c r="F172"/>
  <c r="J172" s="1"/>
  <c r="N172" s="1"/>
  <c r="E172"/>
  <c r="C172"/>
  <c r="N171"/>
  <c r="J171"/>
  <c r="H171"/>
  <c r="P171" s="1"/>
  <c r="G171"/>
  <c r="K171" s="1"/>
  <c r="O171" s="1"/>
  <c r="F171"/>
  <c r="E171"/>
  <c r="I171" s="1"/>
  <c r="M171" s="1"/>
  <c r="L171" s="1"/>
  <c r="D171"/>
  <c r="C171"/>
  <c r="K170"/>
  <c r="O170" s="1"/>
  <c r="G170"/>
  <c r="F170"/>
  <c r="J170" s="1"/>
  <c r="N170" s="1"/>
  <c r="E170"/>
  <c r="D170" s="1"/>
  <c r="C170"/>
  <c r="G169"/>
  <c r="K169" s="1"/>
  <c r="O169" s="1"/>
  <c r="F169"/>
  <c r="D169" s="1"/>
  <c r="E169"/>
  <c r="I169" s="1"/>
  <c r="M169" s="1"/>
  <c r="C169"/>
  <c r="K168"/>
  <c r="O168" s="1"/>
  <c r="G168"/>
  <c r="F168"/>
  <c r="J168" s="1"/>
  <c r="N168" s="1"/>
  <c r="E168"/>
  <c r="C168"/>
  <c r="G167"/>
  <c r="K167" s="1"/>
  <c r="O167" s="1"/>
  <c r="F167"/>
  <c r="E167"/>
  <c r="I167" s="1"/>
  <c r="M167" s="1"/>
  <c r="C167"/>
  <c r="I166"/>
  <c r="G166"/>
  <c r="K166" s="1"/>
  <c r="O166" s="1"/>
  <c r="F166"/>
  <c r="J166" s="1"/>
  <c r="N166" s="1"/>
  <c r="E166"/>
  <c r="C166"/>
  <c r="J165"/>
  <c r="N165" s="1"/>
  <c r="G165"/>
  <c r="K165" s="1"/>
  <c r="O165" s="1"/>
  <c r="F165"/>
  <c r="E165"/>
  <c r="I165" s="1"/>
  <c r="D165"/>
  <c r="C165"/>
  <c r="M164"/>
  <c r="I164"/>
  <c r="G164"/>
  <c r="K164" s="1"/>
  <c r="O164" s="1"/>
  <c r="F164"/>
  <c r="J164" s="1"/>
  <c r="N164" s="1"/>
  <c r="E164"/>
  <c r="C164"/>
  <c r="P163"/>
  <c r="N163"/>
  <c r="J163"/>
  <c r="H163"/>
  <c r="G163"/>
  <c r="K163" s="1"/>
  <c r="O163" s="1"/>
  <c r="F163"/>
  <c r="E163"/>
  <c r="I163" s="1"/>
  <c r="M163" s="1"/>
  <c r="L163" s="1"/>
  <c r="Q163" s="1"/>
  <c r="D163"/>
  <c r="C163"/>
  <c r="K162"/>
  <c r="O162" s="1"/>
  <c r="G162"/>
  <c r="F162"/>
  <c r="J162" s="1"/>
  <c r="N162" s="1"/>
  <c r="E162"/>
  <c r="D162" s="1"/>
  <c r="C162"/>
  <c r="G161"/>
  <c r="K161" s="1"/>
  <c r="O161" s="1"/>
  <c r="F161"/>
  <c r="D161" s="1"/>
  <c r="E161"/>
  <c r="I161" s="1"/>
  <c r="M161" s="1"/>
  <c r="C161"/>
  <c r="K160"/>
  <c r="O160" s="1"/>
  <c r="G160"/>
  <c r="F160"/>
  <c r="J160" s="1"/>
  <c r="N160" s="1"/>
  <c r="E160"/>
  <c r="C160"/>
  <c r="G159"/>
  <c r="K159" s="1"/>
  <c r="O159" s="1"/>
  <c r="F159"/>
  <c r="E159"/>
  <c r="I159" s="1"/>
  <c r="M159" s="1"/>
  <c r="C159"/>
  <c r="I158"/>
  <c r="G158"/>
  <c r="K158" s="1"/>
  <c r="O158" s="1"/>
  <c r="F158"/>
  <c r="J158" s="1"/>
  <c r="N158" s="1"/>
  <c r="E158"/>
  <c r="C158"/>
  <c r="J157"/>
  <c r="N157" s="1"/>
  <c r="G157"/>
  <c r="K157" s="1"/>
  <c r="O157" s="1"/>
  <c r="F157"/>
  <c r="E157"/>
  <c r="I157" s="1"/>
  <c r="D157"/>
  <c r="C157"/>
  <c r="O156"/>
  <c r="M156"/>
  <c r="I156"/>
  <c r="G156"/>
  <c r="K156" s="1"/>
  <c r="F156"/>
  <c r="J156" s="1"/>
  <c r="N156" s="1"/>
  <c r="E156"/>
  <c r="C156"/>
  <c r="N155"/>
  <c r="J155"/>
  <c r="H155"/>
  <c r="P155" s="1"/>
  <c r="G155"/>
  <c r="K155" s="1"/>
  <c r="O155" s="1"/>
  <c r="F155"/>
  <c r="E155"/>
  <c r="I155" s="1"/>
  <c r="M155" s="1"/>
  <c r="L155" s="1"/>
  <c r="D155"/>
  <c r="C155"/>
  <c r="K154"/>
  <c r="O154" s="1"/>
  <c r="G154"/>
  <c r="F154"/>
  <c r="J154" s="1"/>
  <c r="N154" s="1"/>
  <c r="E154"/>
  <c r="D154" s="1"/>
  <c r="C154"/>
  <c r="G153"/>
  <c r="K153" s="1"/>
  <c r="O153" s="1"/>
  <c r="F153"/>
  <c r="D153" s="1"/>
  <c r="E153"/>
  <c r="I153" s="1"/>
  <c r="M153" s="1"/>
  <c r="C153"/>
  <c r="K152"/>
  <c r="O152" s="1"/>
  <c r="G152"/>
  <c r="F152"/>
  <c r="J152" s="1"/>
  <c r="N152" s="1"/>
  <c r="E152"/>
  <c r="C152"/>
  <c r="G151"/>
  <c r="K151" s="1"/>
  <c r="O151" s="1"/>
  <c r="F151"/>
  <c r="E151"/>
  <c r="I151" s="1"/>
  <c r="M151" s="1"/>
  <c r="C151"/>
  <c r="I150"/>
  <c r="G150"/>
  <c r="K150" s="1"/>
  <c r="O150" s="1"/>
  <c r="F150"/>
  <c r="J150" s="1"/>
  <c r="N150" s="1"/>
  <c r="E150"/>
  <c r="C150"/>
  <c r="J149"/>
  <c r="N149" s="1"/>
  <c r="G149"/>
  <c r="K149" s="1"/>
  <c r="O149" s="1"/>
  <c r="F149"/>
  <c r="E149"/>
  <c r="I149" s="1"/>
  <c r="D149"/>
  <c r="C149"/>
  <c r="M148"/>
  <c r="I148"/>
  <c r="G148"/>
  <c r="K148" s="1"/>
  <c r="O148" s="1"/>
  <c r="F148"/>
  <c r="J148" s="1"/>
  <c r="N148" s="1"/>
  <c r="E148"/>
  <c r="C148"/>
  <c r="P147"/>
  <c r="N147"/>
  <c r="J147"/>
  <c r="H147"/>
  <c r="G147"/>
  <c r="K147" s="1"/>
  <c r="O147" s="1"/>
  <c r="F147"/>
  <c r="E147"/>
  <c r="I147" s="1"/>
  <c r="M147" s="1"/>
  <c r="L147" s="1"/>
  <c r="Q147" s="1"/>
  <c r="D147"/>
  <c r="C147"/>
  <c r="K146"/>
  <c r="O146" s="1"/>
  <c r="G146"/>
  <c r="F146"/>
  <c r="J146" s="1"/>
  <c r="N146" s="1"/>
  <c r="E146"/>
  <c r="D146" s="1"/>
  <c r="C146"/>
  <c r="G145"/>
  <c r="K145" s="1"/>
  <c r="O145" s="1"/>
  <c r="F145"/>
  <c r="D145" s="1"/>
  <c r="E145"/>
  <c r="I145" s="1"/>
  <c r="M145" s="1"/>
  <c r="C145"/>
  <c r="K144"/>
  <c r="G144"/>
  <c r="F144"/>
  <c r="J144" s="1"/>
  <c r="N144" s="1"/>
  <c r="E144"/>
  <c r="C144"/>
  <c r="F142"/>
  <c r="D142"/>
  <c r="F140"/>
  <c r="N136"/>
  <c r="M136"/>
  <c r="L136"/>
  <c r="H136"/>
  <c r="D136"/>
  <c r="Q136" s="1"/>
  <c r="N135"/>
  <c r="M135"/>
  <c r="H135"/>
  <c r="D135"/>
  <c r="N134"/>
  <c r="M134"/>
  <c r="L134"/>
  <c r="Q134" s="1"/>
  <c r="J134"/>
  <c r="H134"/>
  <c r="F134"/>
  <c r="D134"/>
  <c r="N133"/>
  <c r="M133"/>
  <c r="I133"/>
  <c r="D133"/>
  <c r="O132"/>
  <c r="N132"/>
  <c r="K132"/>
  <c r="J132"/>
  <c r="F132"/>
  <c r="E132"/>
  <c r="D132" s="1"/>
  <c r="C132"/>
  <c r="P131"/>
  <c r="O131"/>
  <c r="N131"/>
  <c r="M131"/>
  <c r="L131"/>
  <c r="Q131" s="1"/>
  <c r="H131"/>
  <c r="D131"/>
  <c r="P130"/>
  <c r="N130"/>
  <c r="M130"/>
  <c r="L130" s="1"/>
  <c r="Q130" s="1"/>
  <c r="H130"/>
  <c r="D130"/>
  <c r="J129"/>
  <c r="N129" s="1"/>
  <c r="L129" s="1"/>
  <c r="Q129" s="1"/>
  <c r="H129"/>
  <c r="P129" s="1"/>
  <c r="F129"/>
  <c r="D129" s="1"/>
  <c r="I128"/>
  <c r="E128"/>
  <c r="D128" s="1"/>
  <c r="N126"/>
  <c r="N125" s="1"/>
  <c r="M126"/>
  <c r="M124" s="1"/>
  <c r="L124" s="1"/>
  <c r="Q124" s="1"/>
  <c r="L126"/>
  <c r="Q126" s="1"/>
  <c r="H126"/>
  <c r="D126"/>
  <c r="P125"/>
  <c r="L125"/>
  <c r="J125"/>
  <c r="H125"/>
  <c r="F125"/>
  <c r="D125"/>
  <c r="I124"/>
  <c r="H124"/>
  <c r="P124" s="1"/>
  <c r="E124"/>
  <c r="D124"/>
  <c r="N122"/>
  <c r="L122"/>
  <c r="H122"/>
  <c r="F122"/>
  <c r="N121"/>
  <c r="L121" s="1"/>
  <c r="H121"/>
  <c r="F121"/>
  <c r="D121"/>
  <c r="Q121" s="1"/>
  <c r="N120"/>
  <c r="L120"/>
  <c r="Q120" s="1"/>
  <c r="H120"/>
  <c r="D120"/>
  <c r="P120" s="1"/>
  <c r="N119"/>
  <c r="L119"/>
  <c r="Q119" s="1"/>
  <c r="H119"/>
  <c r="D119"/>
  <c r="P119" s="1"/>
  <c r="N118"/>
  <c r="L118"/>
  <c r="H118"/>
  <c r="D118"/>
  <c r="P118" s="1"/>
  <c r="N117"/>
  <c r="L117"/>
  <c r="H117"/>
  <c r="D117"/>
  <c r="P117" s="1"/>
  <c r="L116"/>
  <c r="Q116" s="1"/>
  <c r="H116"/>
  <c r="P116" s="1"/>
  <c r="D116"/>
  <c r="N115"/>
  <c r="L115" s="1"/>
  <c r="Q115" s="1"/>
  <c r="H115"/>
  <c r="P115" s="1"/>
  <c r="F115"/>
  <c r="D115"/>
  <c r="Q114"/>
  <c r="P114"/>
  <c r="Q113"/>
  <c r="P113"/>
  <c r="N112"/>
  <c r="L112"/>
  <c r="Q112" s="1"/>
  <c r="H112"/>
  <c r="D112"/>
  <c r="O111"/>
  <c r="M111"/>
  <c r="L111"/>
  <c r="K111"/>
  <c r="J111"/>
  <c r="I111"/>
  <c r="G111"/>
  <c r="C111"/>
  <c r="N110"/>
  <c r="L110"/>
  <c r="Q110" s="1"/>
  <c r="J110"/>
  <c r="H110"/>
  <c r="P110" s="1"/>
  <c r="D110"/>
  <c r="J109"/>
  <c r="F109"/>
  <c r="D109" s="1"/>
  <c r="D105" s="1"/>
  <c r="N108"/>
  <c r="L108" s="1"/>
  <c r="Q108" s="1"/>
  <c r="H108"/>
  <c r="P108" s="1"/>
  <c r="D108"/>
  <c r="N106"/>
  <c r="L106" s="1"/>
  <c r="Q106" s="1"/>
  <c r="H106"/>
  <c r="F106"/>
  <c r="D106"/>
  <c r="O105"/>
  <c r="M105"/>
  <c r="K105"/>
  <c r="I105"/>
  <c r="G105"/>
  <c r="F105"/>
  <c r="E105"/>
  <c r="C105"/>
  <c r="N104"/>
  <c r="L104" s="1"/>
  <c r="H104"/>
  <c r="F104"/>
  <c r="D104"/>
  <c r="Q104" s="1"/>
  <c r="H103"/>
  <c r="F103"/>
  <c r="F102"/>
  <c r="N101"/>
  <c r="H101"/>
  <c r="D101"/>
  <c r="O100"/>
  <c r="O99" s="1"/>
  <c r="M100"/>
  <c r="K100"/>
  <c r="K99" s="1"/>
  <c r="I100"/>
  <c r="G100"/>
  <c r="G99" s="1"/>
  <c r="E100"/>
  <c r="C100"/>
  <c r="C99" s="1"/>
  <c r="Q98"/>
  <c r="N98"/>
  <c r="L98" s="1"/>
  <c r="H98"/>
  <c r="D98"/>
  <c r="F98" s="1"/>
  <c r="O97"/>
  <c r="M97"/>
  <c r="K97"/>
  <c r="J97"/>
  <c r="J96" s="1"/>
  <c r="I97"/>
  <c r="H97"/>
  <c r="H96" s="1"/>
  <c r="P96" s="1"/>
  <c r="G97"/>
  <c r="F97"/>
  <c r="F96" s="1"/>
  <c r="E97"/>
  <c r="D97"/>
  <c r="D96" s="1"/>
  <c r="C97"/>
  <c r="O96"/>
  <c r="M96"/>
  <c r="K96"/>
  <c r="I96"/>
  <c r="G96"/>
  <c r="E96"/>
  <c r="C96"/>
  <c r="N95"/>
  <c r="L95"/>
  <c r="Q95" s="1"/>
  <c r="H95"/>
  <c r="H94" s="1"/>
  <c r="F95"/>
  <c r="D95"/>
  <c r="P94"/>
  <c r="O94"/>
  <c r="N94"/>
  <c r="M94"/>
  <c r="L94"/>
  <c r="Q94" s="1"/>
  <c r="J94"/>
  <c r="I94"/>
  <c r="G94"/>
  <c r="F94"/>
  <c r="E94"/>
  <c r="D94"/>
  <c r="C94"/>
  <c r="K92"/>
  <c r="N91"/>
  <c r="L91"/>
  <c r="H91"/>
  <c r="F91"/>
  <c r="D91" s="1"/>
  <c r="D87" s="1"/>
  <c r="N90"/>
  <c r="L90" s="1"/>
  <c r="Q90" s="1"/>
  <c r="H90"/>
  <c r="F90"/>
  <c r="D90"/>
  <c r="Q89"/>
  <c r="P89"/>
  <c r="Q88"/>
  <c r="P88"/>
  <c r="O87"/>
  <c r="N87"/>
  <c r="L87" s="1"/>
  <c r="Q87" s="1"/>
  <c r="M87"/>
  <c r="K87"/>
  <c r="J87"/>
  <c r="I87"/>
  <c r="G87"/>
  <c r="F87"/>
  <c r="F74" s="1"/>
  <c r="F92" s="1"/>
  <c r="E87"/>
  <c r="C87"/>
  <c r="N86"/>
  <c r="L86" s="1"/>
  <c r="H86"/>
  <c r="F86"/>
  <c r="D86"/>
  <c r="Q86" s="1"/>
  <c r="N85"/>
  <c r="L85"/>
  <c r="Q85" s="1"/>
  <c r="H85"/>
  <c r="F85"/>
  <c r="D85" s="1"/>
  <c r="P85" s="1"/>
  <c r="N84"/>
  <c r="L84" s="1"/>
  <c r="Q84" s="1"/>
  <c r="J84"/>
  <c r="H84" s="1"/>
  <c r="P84" s="1"/>
  <c r="D84"/>
  <c r="N83"/>
  <c r="L83"/>
  <c r="Q83" s="1"/>
  <c r="H83"/>
  <c r="D83"/>
  <c r="P83" s="1"/>
  <c r="N82"/>
  <c r="L82"/>
  <c r="H82"/>
  <c r="D82"/>
  <c r="P82" s="1"/>
  <c r="F81"/>
  <c r="J81" s="1"/>
  <c r="D81"/>
  <c r="P80"/>
  <c r="D80"/>
  <c r="Q80" s="1"/>
  <c r="N79"/>
  <c r="L79" s="1"/>
  <c r="H79"/>
  <c r="F79"/>
  <c r="D79"/>
  <c r="D78" s="1"/>
  <c r="O78"/>
  <c r="M78"/>
  <c r="K78"/>
  <c r="I78"/>
  <c r="G78"/>
  <c r="F78"/>
  <c r="E78"/>
  <c r="C78"/>
  <c r="N77"/>
  <c r="L77" s="1"/>
  <c r="Q77" s="1"/>
  <c r="H77"/>
  <c r="P77" s="1"/>
  <c r="D77"/>
  <c r="N76"/>
  <c r="H76"/>
  <c r="D76"/>
  <c r="O75"/>
  <c r="O74" s="1"/>
  <c r="O92" s="1"/>
  <c r="M75"/>
  <c r="M74" s="1"/>
  <c r="K75"/>
  <c r="K74" s="1"/>
  <c r="J75"/>
  <c r="I75"/>
  <c r="I74" s="1"/>
  <c r="I92" s="1"/>
  <c r="G75"/>
  <c r="G74" s="1"/>
  <c r="G92" s="1"/>
  <c r="F75"/>
  <c r="E75"/>
  <c r="E74" s="1"/>
  <c r="E92" s="1"/>
  <c r="D75"/>
  <c r="C75"/>
  <c r="C74" s="1"/>
  <c r="D74"/>
  <c r="D92" s="1"/>
  <c r="L73"/>
  <c r="H73"/>
  <c r="D73"/>
  <c r="Q73" s="1"/>
  <c r="N72"/>
  <c r="L72"/>
  <c r="H72"/>
  <c r="F72"/>
  <c r="D72" s="1"/>
  <c r="D70" s="1"/>
  <c r="D69" s="1"/>
  <c r="N71"/>
  <c r="L71" s="1"/>
  <c r="Q71" s="1"/>
  <c r="H71"/>
  <c r="F71"/>
  <c r="D71"/>
  <c r="O70"/>
  <c r="N70"/>
  <c r="N69" s="1"/>
  <c r="M70"/>
  <c r="L70"/>
  <c r="K70"/>
  <c r="J70"/>
  <c r="J69" s="1"/>
  <c r="I70"/>
  <c r="G70"/>
  <c r="F70"/>
  <c r="F69" s="1"/>
  <c r="E70"/>
  <c r="C70"/>
  <c r="O69"/>
  <c r="M69"/>
  <c r="L69"/>
  <c r="Q69" s="1"/>
  <c r="K69"/>
  <c r="I69"/>
  <c r="G69"/>
  <c r="E69"/>
  <c r="C69"/>
  <c r="C92" s="1"/>
  <c r="G67"/>
  <c r="N66"/>
  <c r="L66"/>
  <c r="L65" s="1"/>
  <c r="H66"/>
  <c r="F66"/>
  <c r="D66" s="1"/>
  <c r="Q66" s="1"/>
  <c r="N65"/>
  <c r="J65"/>
  <c r="H65"/>
  <c r="P65" s="1"/>
  <c r="F65"/>
  <c r="D65" s="1"/>
  <c r="N64"/>
  <c r="J64"/>
  <c r="F64"/>
  <c r="D64" s="1"/>
  <c r="N63"/>
  <c r="M63"/>
  <c r="L63"/>
  <c r="Q63" s="1"/>
  <c r="D63"/>
  <c r="P63" s="1"/>
  <c r="N62"/>
  <c r="M62"/>
  <c r="L62"/>
  <c r="Q62" s="1"/>
  <c r="D62"/>
  <c r="P62" s="1"/>
  <c r="N61"/>
  <c r="M61"/>
  <c r="L61"/>
  <c r="D61"/>
  <c r="P61" s="1"/>
  <c r="N60"/>
  <c r="M60"/>
  <c r="L60"/>
  <c r="Q60" s="1"/>
  <c r="D60"/>
  <c r="P60" s="1"/>
  <c r="N59"/>
  <c r="M59"/>
  <c r="L59"/>
  <c r="Q59" s="1"/>
  <c r="D59"/>
  <c r="P59" s="1"/>
  <c r="N58"/>
  <c r="M58"/>
  <c r="L58"/>
  <c r="Q58" s="1"/>
  <c r="D58"/>
  <c r="P58" s="1"/>
  <c r="N57"/>
  <c r="M57"/>
  <c r="L57"/>
  <c r="D57"/>
  <c r="P57" s="1"/>
  <c r="N56"/>
  <c r="M56"/>
  <c r="L56"/>
  <c r="Q56" s="1"/>
  <c r="D56"/>
  <c r="P56" s="1"/>
  <c r="N55"/>
  <c r="M55"/>
  <c r="L55"/>
  <c r="Q55" s="1"/>
  <c r="D55"/>
  <c r="P55" s="1"/>
  <c r="N54"/>
  <c r="M54"/>
  <c r="L54"/>
  <c r="Q54" s="1"/>
  <c r="D54"/>
  <c r="P54" s="1"/>
  <c r="N53"/>
  <c r="M53"/>
  <c r="L53"/>
  <c r="D53"/>
  <c r="P53" s="1"/>
  <c r="N52"/>
  <c r="M52"/>
  <c r="L52"/>
  <c r="Q52" s="1"/>
  <c r="D52"/>
  <c r="P52" s="1"/>
  <c r="N51"/>
  <c r="M51"/>
  <c r="L51"/>
  <c r="Q51" s="1"/>
  <c r="D51"/>
  <c r="P51" s="1"/>
  <c r="N50"/>
  <c r="M50"/>
  <c r="L50"/>
  <c r="Q50" s="1"/>
  <c r="D50"/>
  <c r="P50" s="1"/>
  <c r="N49"/>
  <c r="M49"/>
  <c r="L49"/>
  <c r="D49"/>
  <c r="P49" s="1"/>
  <c r="N48"/>
  <c r="M48"/>
  <c r="L48"/>
  <c r="Q48" s="1"/>
  <c r="D48"/>
  <c r="P48" s="1"/>
  <c r="N47"/>
  <c r="M47"/>
  <c r="L47"/>
  <c r="Q47" s="1"/>
  <c r="D47"/>
  <c r="P47" s="1"/>
  <c r="N46"/>
  <c r="M46"/>
  <c r="L46"/>
  <c r="J46"/>
  <c r="H46"/>
  <c r="F46"/>
  <c r="M45"/>
  <c r="L45" s="1"/>
  <c r="I45"/>
  <c r="H45"/>
  <c r="E45"/>
  <c r="N44"/>
  <c r="J44"/>
  <c r="I44"/>
  <c r="C44"/>
  <c r="N43"/>
  <c r="L43" s="1"/>
  <c r="H43"/>
  <c r="F43"/>
  <c r="D43"/>
  <c r="P43" s="1"/>
  <c r="F42"/>
  <c r="D42"/>
  <c r="F41"/>
  <c r="D41"/>
  <c r="N40"/>
  <c r="L40"/>
  <c r="Q40" s="1"/>
  <c r="H40"/>
  <c r="P40" s="1"/>
  <c r="D40"/>
  <c r="P39"/>
  <c r="D39"/>
  <c r="Q39" s="1"/>
  <c r="N38"/>
  <c r="L38" s="1"/>
  <c r="Q38" s="1"/>
  <c r="H38"/>
  <c r="D38"/>
  <c r="P38" s="1"/>
  <c r="N37"/>
  <c r="L37"/>
  <c r="H37"/>
  <c r="F37"/>
  <c r="D37" s="1"/>
  <c r="Q37" s="1"/>
  <c r="N36"/>
  <c r="L36" s="1"/>
  <c r="Q36" s="1"/>
  <c r="J36"/>
  <c r="H36"/>
  <c r="P36" s="1"/>
  <c r="D36"/>
  <c r="N35"/>
  <c r="L35" s="1"/>
  <c r="J35"/>
  <c r="H35"/>
  <c r="P35" s="1"/>
  <c r="D35"/>
  <c r="O33"/>
  <c r="M33"/>
  <c r="M31" s="1"/>
  <c r="K33"/>
  <c r="K31" s="1"/>
  <c r="J33"/>
  <c r="J31" s="1"/>
  <c r="J67" s="1"/>
  <c r="I33"/>
  <c r="I31" s="1"/>
  <c r="G33"/>
  <c r="F33"/>
  <c r="F31" s="1"/>
  <c r="E33"/>
  <c r="E31" s="1"/>
  <c r="C33"/>
  <c r="Q32"/>
  <c r="N32"/>
  <c r="L32"/>
  <c r="H32"/>
  <c r="P32" s="1"/>
  <c r="F32"/>
  <c r="D32"/>
  <c r="O31"/>
  <c r="C31"/>
  <c r="C67" s="1"/>
  <c r="N30"/>
  <c r="L30"/>
  <c r="Q30" s="1"/>
  <c r="H30"/>
  <c r="P30" s="1"/>
  <c r="F30"/>
  <c r="D30"/>
  <c r="D28" s="1"/>
  <c r="Q29"/>
  <c r="N29"/>
  <c r="L29"/>
  <c r="H29"/>
  <c r="P29" s="1"/>
  <c r="F29"/>
  <c r="D29"/>
  <c r="N28"/>
  <c r="J28"/>
  <c r="F28"/>
  <c r="C28"/>
  <c r="J27"/>
  <c r="N27" s="1"/>
  <c r="E27"/>
  <c r="P26"/>
  <c r="N26"/>
  <c r="L26" s="1"/>
  <c r="Q26" s="1"/>
  <c r="H26"/>
  <c r="F26"/>
  <c r="M25"/>
  <c r="L25"/>
  <c r="Q25" s="1"/>
  <c r="H25"/>
  <c r="P25" s="1"/>
  <c r="E25"/>
  <c r="D25"/>
  <c r="N24"/>
  <c r="G24"/>
  <c r="D24"/>
  <c r="N23"/>
  <c r="M23"/>
  <c r="J23"/>
  <c r="E23"/>
  <c r="C23"/>
  <c r="C232" l="1"/>
  <c r="L23"/>
  <c r="E231"/>
  <c r="D230"/>
  <c r="D229" s="1"/>
  <c r="P229" s="1"/>
  <c r="H44"/>
  <c r="M44"/>
  <c r="L44" s="1"/>
  <c r="H128"/>
  <c r="P128" s="1"/>
  <c r="M128"/>
  <c r="L128" s="1"/>
  <c r="Q128" s="1"/>
  <c r="K143"/>
  <c r="O144"/>
  <c r="M165"/>
  <c r="L165" s="1"/>
  <c r="Q165" s="1"/>
  <c r="H165"/>
  <c r="P165" s="1"/>
  <c r="H166"/>
  <c r="M166"/>
  <c r="L166" s="1"/>
  <c r="D168"/>
  <c r="I168"/>
  <c r="E24"/>
  <c r="E67"/>
  <c r="Q35"/>
  <c r="L33"/>
  <c r="Q41"/>
  <c r="P41"/>
  <c r="Q65"/>
  <c r="L64"/>
  <c r="Q64" s="1"/>
  <c r="L76"/>
  <c r="N75"/>
  <c r="N81"/>
  <c r="L81" s="1"/>
  <c r="Q81" s="1"/>
  <c r="H81"/>
  <c r="J78"/>
  <c r="J74" s="1"/>
  <c r="J92" s="1"/>
  <c r="H109"/>
  <c r="P109" s="1"/>
  <c r="N109"/>
  <c r="J105"/>
  <c r="M149"/>
  <c r="L149" s="1"/>
  <c r="Q149" s="1"/>
  <c r="H149"/>
  <c r="P149" s="1"/>
  <c r="H150"/>
  <c r="M150"/>
  <c r="L150" s="1"/>
  <c r="D151"/>
  <c r="J151"/>
  <c r="N151" s="1"/>
  <c r="L151" s="1"/>
  <c r="Q151" s="1"/>
  <c r="D152"/>
  <c r="I152"/>
  <c r="Q181"/>
  <c r="L180"/>
  <c r="I24"/>
  <c r="L133"/>
  <c r="M132"/>
  <c r="D144"/>
  <c r="E143"/>
  <c r="I144"/>
  <c r="M173"/>
  <c r="L173" s="1"/>
  <c r="Q173" s="1"/>
  <c r="H173"/>
  <c r="P173" s="1"/>
  <c r="H174"/>
  <c r="M174"/>
  <c r="L174" s="1"/>
  <c r="D175"/>
  <c r="J175"/>
  <c r="N175" s="1"/>
  <c r="L175" s="1"/>
  <c r="D176"/>
  <c r="I176"/>
  <c r="P182"/>
  <c r="Q182"/>
  <c r="D179"/>
  <c r="H231"/>
  <c r="P227"/>
  <c r="Q23"/>
  <c r="D27"/>
  <c r="H28"/>
  <c r="P28" s="1"/>
  <c r="Q46"/>
  <c r="M92"/>
  <c r="Q79"/>
  <c r="L28"/>
  <c r="Q28" s="1"/>
  <c r="N33"/>
  <c r="N31" s="1"/>
  <c r="N67" s="1"/>
  <c r="P37"/>
  <c r="Q43"/>
  <c r="Q53"/>
  <c r="Q61"/>
  <c r="P66"/>
  <c r="C138"/>
  <c r="Q171"/>
  <c r="D23"/>
  <c r="F24"/>
  <c r="Q42"/>
  <c r="P42"/>
  <c r="D103"/>
  <c r="F100"/>
  <c r="P106"/>
  <c r="D167"/>
  <c r="J167"/>
  <c r="N167" s="1"/>
  <c r="L167" s="1"/>
  <c r="Q167" s="1"/>
  <c r="E44"/>
  <c r="D45"/>
  <c r="Q45" s="1"/>
  <c r="D46"/>
  <c r="F44"/>
  <c r="F67" s="1"/>
  <c r="P71"/>
  <c r="H70"/>
  <c r="P90"/>
  <c r="H87"/>
  <c r="P87" s="1"/>
  <c r="D102"/>
  <c r="J102"/>
  <c r="D122"/>
  <c r="P122" s="1"/>
  <c r="F111"/>
  <c r="L135"/>
  <c r="Q135" s="1"/>
  <c r="P135"/>
  <c r="M157"/>
  <c r="L157" s="1"/>
  <c r="Q157" s="1"/>
  <c r="H157"/>
  <c r="P157" s="1"/>
  <c r="H158"/>
  <c r="M158"/>
  <c r="L158" s="1"/>
  <c r="D159"/>
  <c r="J159"/>
  <c r="N159" s="1"/>
  <c r="L159" s="1"/>
  <c r="Q159" s="1"/>
  <c r="D160"/>
  <c r="I160"/>
  <c r="F27"/>
  <c r="F23" s="1"/>
  <c r="P45"/>
  <c r="P46"/>
  <c r="O223"/>
  <c r="M24"/>
  <c r="D33"/>
  <c r="D31" s="1"/>
  <c r="Q49"/>
  <c r="Q57"/>
  <c r="H64"/>
  <c r="P64" s="1"/>
  <c r="P97"/>
  <c r="H111"/>
  <c r="P111" s="1"/>
  <c r="Q155"/>
  <c r="Q215"/>
  <c r="L214"/>
  <c r="Q214" s="1"/>
  <c r="P218"/>
  <c r="H217"/>
  <c r="L230"/>
  <c r="M229"/>
  <c r="M231" s="1"/>
  <c r="I132"/>
  <c r="H133"/>
  <c r="D192"/>
  <c r="F191"/>
  <c r="P194"/>
  <c r="H193"/>
  <c r="F217"/>
  <c r="D222"/>
  <c r="P222" s="1"/>
  <c r="L101"/>
  <c r="P91"/>
  <c r="I99"/>
  <c r="I138" s="1"/>
  <c r="L148"/>
  <c r="L156"/>
  <c r="L164"/>
  <c r="L172"/>
  <c r="C191"/>
  <c r="C223" s="1"/>
  <c r="Q199"/>
  <c r="F202"/>
  <c r="N202"/>
  <c r="P204"/>
  <c r="P213"/>
  <c r="Q228"/>
  <c r="K24"/>
  <c r="K23" s="1"/>
  <c r="K67" s="1"/>
  <c r="O24"/>
  <c r="O23" s="1"/>
  <c r="O67" s="1"/>
  <c r="H33"/>
  <c r="P79"/>
  <c r="Q82"/>
  <c r="P95"/>
  <c r="N97"/>
  <c r="P98"/>
  <c r="N111"/>
  <c r="Q118"/>
  <c r="Q122"/>
  <c r="P126"/>
  <c r="G143"/>
  <c r="G140" s="1"/>
  <c r="G189" s="1"/>
  <c r="G232" s="1"/>
  <c r="J145"/>
  <c r="I146"/>
  <c r="D148"/>
  <c r="J153"/>
  <c r="I154"/>
  <c r="D156"/>
  <c r="J161"/>
  <c r="I162"/>
  <c r="D164"/>
  <c r="J169"/>
  <c r="I170"/>
  <c r="D172"/>
  <c r="H175"/>
  <c r="J177"/>
  <c r="I178"/>
  <c r="C179"/>
  <c r="P180"/>
  <c r="P181"/>
  <c r="Q206"/>
  <c r="P214"/>
  <c r="J223"/>
  <c r="Q227"/>
  <c r="L194"/>
  <c r="N193"/>
  <c r="N191" s="1"/>
  <c r="H75"/>
  <c r="P76"/>
  <c r="P101"/>
  <c r="Q192"/>
  <c r="N220"/>
  <c r="L219"/>
  <c r="Q219" s="1"/>
  <c r="N217"/>
  <c r="Q210"/>
  <c r="L220"/>
  <c r="Q220" s="1"/>
  <c r="P72"/>
  <c r="Q125"/>
  <c r="Q70"/>
  <c r="Q72"/>
  <c r="P73"/>
  <c r="P86"/>
  <c r="Q91"/>
  <c r="E99"/>
  <c r="E138" s="1"/>
  <c r="P104"/>
  <c r="D111"/>
  <c r="Q111" s="1"/>
  <c r="P112"/>
  <c r="Q117"/>
  <c r="P121"/>
  <c r="P134"/>
  <c r="P136"/>
  <c r="H148"/>
  <c r="D150"/>
  <c r="H156"/>
  <c r="D158"/>
  <c r="H164"/>
  <c r="D166"/>
  <c r="H172"/>
  <c r="D174"/>
  <c r="P201"/>
  <c r="H202"/>
  <c r="P202" s="1"/>
  <c r="Q204"/>
  <c r="Q209"/>
  <c r="Q212"/>
  <c r="P216"/>
  <c r="L217"/>
  <c r="L225"/>
  <c r="Q225" s="1"/>
  <c r="P228"/>
  <c r="D231" l="1"/>
  <c r="P230"/>
  <c r="L179"/>
  <c r="Q180"/>
  <c r="H177"/>
  <c r="P177" s="1"/>
  <c r="N177"/>
  <c r="L177" s="1"/>
  <c r="Q177" s="1"/>
  <c r="H169"/>
  <c r="P169" s="1"/>
  <c r="N169"/>
  <c r="L169" s="1"/>
  <c r="Q169" s="1"/>
  <c r="H161"/>
  <c r="P161" s="1"/>
  <c r="N161"/>
  <c r="L161" s="1"/>
  <c r="Q161" s="1"/>
  <c r="H153"/>
  <c r="P153" s="1"/>
  <c r="N153"/>
  <c r="L153" s="1"/>
  <c r="Q153" s="1"/>
  <c r="H145"/>
  <c r="P145" s="1"/>
  <c r="J143"/>
  <c r="N145"/>
  <c r="L145" s="1"/>
  <c r="Q145" s="1"/>
  <c r="H191"/>
  <c r="P193"/>
  <c r="H132"/>
  <c r="P132" s="1"/>
  <c r="P133"/>
  <c r="H223"/>
  <c r="H160"/>
  <c r="P160" s="1"/>
  <c r="M160"/>
  <c r="L160" s="1"/>
  <c r="Q160" s="1"/>
  <c r="H102"/>
  <c r="J100"/>
  <c r="J99" s="1"/>
  <c r="J138" s="1"/>
  <c r="N102"/>
  <c r="P70"/>
  <c r="H69"/>
  <c r="P69" s="1"/>
  <c r="D143"/>
  <c r="C143" s="1"/>
  <c r="C140" s="1"/>
  <c r="C189" s="1"/>
  <c r="E141"/>
  <c r="H152"/>
  <c r="P152" s="1"/>
  <c r="M152"/>
  <c r="L152" s="1"/>
  <c r="Q152" s="1"/>
  <c r="P81"/>
  <c r="H78"/>
  <c r="P78" s="1"/>
  <c r="Q33"/>
  <c r="L31"/>
  <c r="H168"/>
  <c r="P168" s="1"/>
  <c r="M168"/>
  <c r="L168" s="1"/>
  <c r="Q168" s="1"/>
  <c r="P75"/>
  <c r="H74"/>
  <c r="H178"/>
  <c r="P178" s="1"/>
  <c r="M178"/>
  <c r="L178" s="1"/>
  <c r="Q178" s="1"/>
  <c r="H170"/>
  <c r="P170" s="1"/>
  <c r="M170"/>
  <c r="L170" s="1"/>
  <c r="Q170" s="1"/>
  <c r="H162"/>
  <c r="P162" s="1"/>
  <c r="M162"/>
  <c r="L162" s="1"/>
  <c r="Q162" s="1"/>
  <c r="H154"/>
  <c r="P154" s="1"/>
  <c r="M154"/>
  <c r="L154" s="1"/>
  <c r="Q154" s="1"/>
  <c r="H146"/>
  <c r="P146" s="1"/>
  <c r="M146"/>
  <c r="L146" s="1"/>
  <c r="Q146" s="1"/>
  <c r="N96"/>
  <c r="L97"/>
  <c r="P33"/>
  <c r="H31"/>
  <c r="D191"/>
  <c r="P192"/>
  <c r="Q230"/>
  <c r="L229"/>
  <c r="Q103"/>
  <c r="D100"/>
  <c r="D99" s="1"/>
  <c r="D138" s="1"/>
  <c r="P103"/>
  <c r="P231"/>
  <c r="H176"/>
  <c r="P176" s="1"/>
  <c r="M176"/>
  <c r="L176" s="1"/>
  <c r="Q176" s="1"/>
  <c r="I143"/>
  <c r="H144"/>
  <c r="M144"/>
  <c r="L144" s="1"/>
  <c r="Q144" s="1"/>
  <c r="Q133"/>
  <c r="L132"/>
  <c r="Q132" s="1"/>
  <c r="L75"/>
  <c r="Q76"/>
  <c r="K140"/>
  <c r="O143"/>
  <c r="O140" s="1"/>
  <c r="O189" s="1"/>
  <c r="Q172"/>
  <c r="O232"/>
  <c r="F99"/>
  <c r="F138" s="1"/>
  <c r="Q166"/>
  <c r="D217"/>
  <c r="Q156"/>
  <c r="Q158"/>
  <c r="H105"/>
  <c r="P105" s="1"/>
  <c r="P174"/>
  <c r="Q150"/>
  <c r="P164"/>
  <c r="P148"/>
  <c r="M99"/>
  <c r="M138" s="1"/>
  <c r="N78"/>
  <c r="N74" s="1"/>
  <c r="N92" s="1"/>
  <c r="N223"/>
  <c r="Q164"/>
  <c r="F223"/>
  <c r="F232" s="1"/>
  <c r="F242" s="1"/>
  <c r="P179"/>
  <c r="L78"/>
  <c r="Q78" s="1"/>
  <c r="Q174"/>
  <c r="P166"/>
  <c r="P44"/>
  <c r="L193"/>
  <c r="Q194"/>
  <c r="Q101"/>
  <c r="I23"/>
  <c r="I67" s="1"/>
  <c r="I27"/>
  <c r="H24"/>
  <c r="L109"/>
  <c r="N105"/>
  <c r="Q222"/>
  <c r="P172"/>
  <c r="P156"/>
  <c r="P175"/>
  <c r="H167"/>
  <c r="P167" s="1"/>
  <c r="H159"/>
  <c r="P159" s="1"/>
  <c r="H151"/>
  <c r="P151" s="1"/>
  <c r="Q148"/>
  <c r="L24"/>
  <c r="Q24" s="1"/>
  <c r="P158"/>
  <c r="D44"/>
  <c r="D67" s="1"/>
  <c r="M67"/>
  <c r="Q175"/>
  <c r="P150"/>
  <c r="P144" l="1"/>
  <c r="H143"/>
  <c r="Q193"/>
  <c r="L191"/>
  <c r="H92"/>
  <c r="P92" s="1"/>
  <c r="P74"/>
  <c r="M27"/>
  <c r="L27" s="1"/>
  <c r="Q27" s="1"/>
  <c r="H27"/>
  <c r="P27" s="1"/>
  <c r="K95"/>
  <c r="K94" s="1"/>
  <c r="K189"/>
  <c r="K232" s="1"/>
  <c r="P24"/>
  <c r="H23"/>
  <c r="P23" s="1"/>
  <c r="M143"/>
  <c r="M141" s="1"/>
  <c r="I141"/>
  <c r="Q229"/>
  <c r="L231"/>
  <c r="E140"/>
  <c r="D141"/>
  <c r="L102"/>
  <c r="N100"/>
  <c r="N99" s="1"/>
  <c r="N138" s="1"/>
  <c r="J142"/>
  <c r="N143"/>
  <c r="N142" s="1"/>
  <c r="D223"/>
  <c r="Q44"/>
  <c r="P217"/>
  <c r="Q217"/>
  <c r="L105"/>
  <c r="Q105" s="1"/>
  <c r="Q109"/>
  <c r="Q75"/>
  <c r="L74"/>
  <c r="Q179"/>
  <c r="Q97"/>
  <c r="L96"/>
  <c r="Q96" s="1"/>
  <c r="Q31"/>
  <c r="L67"/>
  <c r="Q67" s="1"/>
  <c r="P31"/>
  <c r="P102"/>
  <c r="H100"/>
  <c r="P223"/>
  <c r="P191"/>
  <c r="D24" i="15"/>
  <c r="N55" i="19"/>
  <c r="M55"/>
  <c r="H55"/>
  <c r="P55" s="1"/>
  <c r="D55"/>
  <c r="N54"/>
  <c r="L54" s="1"/>
  <c r="Q54" s="1"/>
  <c r="M54"/>
  <c r="H54"/>
  <c r="P54" s="1"/>
  <c r="D54"/>
  <c r="N53"/>
  <c r="L53" s="1"/>
  <c r="Q53" s="1"/>
  <c r="J53"/>
  <c r="H53"/>
  <c r="P53" s="1"/>
  <c r="F53"/>
  <c r="D53" s="1"/>
  <c r="M52"/>
  <c r="M51" s="1"/>
  <c r="M56" s="1"/>
  <c r="I52"/>
  <c r="H52"/>
  <c r="P52" s="1"/>
  <c r="E52"/>
  <c r="D52" s="1"/>
  <c r="D51" s="1"/>
  <c r="D56" s="1"/>
  <c r="O51"/>
  <c r="O56" s="1"/>
  <c r="K51"/>
  <c r="K56" s="1"/>
  <c r="J51"/>
  <c r="J56" s="1"/>
  <c r="I51"/>
  <c r="I56" s="1"/>
  <c r="H51"/>
  <c r="P51" s="1"/>
  <c r="G51"/>
  <c r="G56" s="1"/>
  <c r="C51"/>
  <c r="C56" s="1"/>
  <c r="C57" s="1"/>
  <c r="Q48"/>
  <c r="P48"/>
  <c r="O48"/>
  <c r="N48"/>
  <c r="M48"/>
  <c r="L48"/>
  <c r="H48"/>
  <c r="D48"/>
  <c r="Q47"/>
  <c r="P47"/>
  <c r="O47"/>
  <c r="N47"/>
  <c r="M47"/>
  <c r="L47"/>
  <c r="H47"/>
  <c r="D47"/>
  <c r="Q46"/>
  <c r="P46"/>
  <c r="O46"/>
  <c r="N46"/>
  <c r="M46"/>
  <c r="L46"/>
  <c r="H46"/>
  <c r="D46"/>
  <c r="K45"/>
  <c r="O45" s="1"/>
  <c r="G45"/>
  <c r="D45"/>
  <c r="J44"/>
  <c r="J42" s="1"/>
  <c r="J49" s="1"/>
  <c r="F44"/>
  <c r="D44"/>
  <c r="I43"/>
  <c r="I42" s="1"/>
  <c r="E43"/>
  <c r="D43"/>
  <c r="G42"/>
  <c r="F42"/>
  <c r="E42"/>
  <c r="D42"/>
  <c r="C42"/>
  <c r="L40"/>
  <c r="Q40" s="1"/>
  <c r="H40"/>
  <c r="F40"/>
  <c r="D40"/>
  <c r="P40" s="1"/>
  <c r="D39"/>
  <c r="D38" s="1"/>
  <c r="D37" s="1"/>
  <c r="O38"/>
  <c r="O37" s="1"/>
  <c r="N38"/>
  <c r="M38"/>
  <c r="K38"/>
  <c r="K37" s="1"/>
  <c r="J38"/>
  <c r="I38"/>
  <c r="H38"/>
  <c r="P38" s="1"/>
  <c r="G38"/>
  <c r="G37" s="1"/>
  <c r="F38"/>
  <c r="E38"/>
  <c r="C38"/>
  <c r="C37" s="1"/>
  <c r="C49" s="1"/>
  <c r="N37"/>
  <c r="M37"/>
  <c r="J37"/>
  <c r="I37"/>
  <c r="F37"/>
  <c r="F49" s="1"/>
  <c r="E37"/>
  <c r="N36"/>
  <c r="M36"/>
  <c r="L36"/>
  <c r="Q36" s="1"/>
  <c r="H36"/>
  <c r="P36" s="1"/>
  <c r="D36"/>
  <c r="N35"/>
  <c r="M35"/>
  <c r="H35"/>
  <c r="L35" s="1"/>
  <c r="Q35" s="1"/>
  <c r="D35"/>
  <c r="N34"/>
  <c r="M34"/>
  <c r="H34"/>
  <c r="P34" s="1"/>
  <c r="D34"/>
  <c r="J33"/>
  <c r="F33"/>
  <c r="D33" s="1"/>
  <c r="M32"/>
  <c r="M31" s="1"/>
  <c r="L32"/>
  <c r="I32"/>
  <c r="H32"/>
  <c r="E32"/>
  <c r="E31" s="1"/>
  <c r="O31"/>
  <c r="K31"/>
  <c r="J31"/>
  <c r="H31" s="1"/>
  <c r="I31"/>
  <c r="F31"/>
  <c r="C31"/>
  <c r="K30"/>
  <c r="O30" s="1"/>
  <c r="O28" s="1"/>
  <c r="O27" s="1"/>
  <c r="O24" s="1"/>
  <c r="J30"/>
  <c r="N30" s="1"/>
  <c r="N28" s="1"/>
  <c r="N27" s="1"/>
  <c r="I30"/>
  <c r="M30" s="1"/>
  <c r="F30"/>
  <c r="E30"/>
  <c r="E28" s="1"/>
  <c r="E27" s="1"/>
  <c r="D30"/>
  <c r="H30" s="1"/>
  <c r="N29"/>
  <c r="M29"/>
  <c r="J29"/>
  <c r="I29"/>
  <c r="I28" s="1"/>
  <c r="I27" s="1"/>
  <c r="I24" s="1"/>
  <c r="H24" s="1"/>
  <c r="H29"/>
  <c r="D29"/>
  <c r="D28" s="1"/>
  <c r="D27" s="1"/>
  <c r="K28"/>
  <c r="K27" s="1"/>
  <c r="K24" s="1"/>
  <c r="J28"/>
  <c r="G28"/>
  <c r="G27" s="1"/>
  <c r="G24" s="1"/>
  <c r="F28"/>
  <c r="C28"/>
  <c r="C27" s="1"/>
  <c r="J27"/>
  <c r="F27"/>
  <c r="C23"/>
  <c r="H142" i="20" l="1"/>
  <c r="P142" s="1"/>
  <c r="J140"/>
  <c r="J189" s="1"/>
  <c r="J232" s="1"/>
  <c r="D140"/>
  <c r="D189" s="1"/>
  <c r="E189"/>
  <c r="E232" s="1"/>
  <c r="N140"/>
  <c r="N189" s="1"/>
  <c r="N232" s="1"/>
  <c r="L142"/>
  <c r="Q142" s="1"/>
  <c r="I140"/>
  <c r="I189" s="1"/>
  <c r="I232" s="1"/>
  <c r="H141"/>
  <c r="P141" s="1"/>
  <c r="P143"/>
  <c r="H140"/>
  <c r="L143"/>
  <c r="Q143" s="1"/>
  <c r="L92"/>
  <c r="Q92" s="1"/>
  <c r="Q74"/>
  <c r="Q231"/>
  <c r="Q191"/>
  <c r="L223"/>
  <c r="Q223" s="1"/>
  <c r="D232"/>
  <c r="D242" s="1"/>
  <c r="P100"/>
  <c r="H99"/>
  <c r="M140"/>
  <c r="L141"/>
  <c r="Q141" s="1"/>
  <c r="Q102"/>
  <c r="L100"/>
  <c r="H67"/>
  <c r="P67" s="1"/>
  <c r="Q33" i="19"/>
  <c r="P33"/>
  <c r="L31"/>
  <c r="E49"/>
  <c r="J57"/>
  <c r="M28"/>
  <c r="M27" s="1"/>
  <c r="M24" s="1"/>
  <c r="L24" s="1"/>
  <c r="E24"/>
  <c r="G49"/>
  <c r="G57" s="1"/>
  <c r="I49"/>
  <c r="K57"/>
  <c r="P30"/>
  <c r="L30"/>
  <c r="Q30" s="1"/>
  <c r="L45"/>
  <c r="Q45" s="1"/>
  <c r="O42"/>
  <c r="O49" s="1"/>
  <c r="O57" s="1"/>
  <c r="H28"/>
  <c r="I57"/>
  <c r="P35"/>
  <c r="N31"/>
  <c r="D32"/>
  <c r="D31" s="1"/>
  <c r="P31" s="1"/>
  <c r="H43"/>
  <c r="H44"/>
  <c r="P44" s="1"/>
  <c r="H45"/>
  <c r="P45" s="1"/>
  <c r="F51"/>
  <c r="F56" s="1"/>
  <c r="F57" s="1"/>
  <c r="N51"/>
  <c r="N56" s="1"/>
  <c r="L52"/>
  <c r="P29"/>
  <c r="L34"/>
  <c r="Q34" s="1"/>
  <c r="H37"/>
  <c r="P37" s="1"/>
  <c r="K42"/>
  <c r="K49" s="1"/>
  <c r="M43"/>
  <c r="N44"/>
  <c r="E51"/>
  <c r="E56" s="1"/>
  <c r="E57" s="1"/>
  <c r="H56"/>
  <c r="L29"/>
  <c r="L38"/>
  <c r="L55"/>
  <c r="Q55" s="1"/>
  <c r="Q27" i="17"/>
  <c r="P27"/>
  <c r="Q26"/>
  <c r="P26"/>
  <c r="N25"/>
  <c r="L25"/>
  <c r="Q25" s="1"/>
  <c r="J25"/>
  <c r="H25"/>
  <c r="P25" s="1"/>
  <c r="F25"/>
  <c r="D25"/>
  <c r="C25"/>
  <c r="Q23"/>
  <c r="P23"/>
  <c r="Q22"/>
  <c r="P22"/>
  <c r="Q21"/>
  <c r="P21"/>
  <c r="Q20"/>
  <c r="P20"/>
  <c r="Q19"/>
  <c r="P19"/>
  <c r="Q18"/>
  <c r="P18"/>
  <c r="Q17"/>
  <c r="P17"/>
  <c r="N16"/>
  <c r="N28" s="1"/>
  <c r="L16"/>
  <c r="Q16" s="1"/>
  <c r="J16"/>
  <c r="J28" s="1"/>
  <c r="H16"/>
  <c r="H28" s="1"/>
  <c r="P28" s="1"/>
  <c r="F16"/>
  <c r="F28" s="1"/>
  <c r="D16"/>
  <c r="D28" s="1"/>
  <c r="C16"/>
  <c r="C28" s="1"/>
  <c r="L99" i="20" l="1"/>
  <c r="Q100"/>
  <c r="H138"/>
  <c r="P138" s="1"/>
  <c r="P99"/>
  <c r="L140"/>
  <c r="M189"/>
  <c r="M232" s="1"/>
  <c r="P140"/>
  <c r="H189"/>
  <c r="Q38" i="19"/>
  <c r="L37"/>
  <c r="Q37" s="1"/>
  <c r="L44"/>
  <c r="Q44" s="1"/>
  <c r="N42"/>
  <c r="N49" s="1"/>
  <c r="N57" s="1"/>
  <c r="P43"/>
  <c r="H42"/>
  <c r="P28"/>
  <c r="H27"/>
  <c r="P27" s="1"/>
  <c r="P56"/>
  <c r="L51"/>
  <c r="Q52"/>
  <c r="L28"/>
  <c r="Q29"/>
  <c r="L43"/>
  <c r="M42"/>
  <c r="M49" s="1"/>
  <c r="M57" s="1"/>
  <c r="Q31"/>
  <c r="Q32"/>
  <c r="D49"/>
  <c r="D57" s="1"/>
  <c r="P32"/>
  <c r="P16" i="17"/>
  <c r="L28"/>
  <c r="Q28" s="1"/>
  <c r="Q39" i="18"/>
  <c r="P39"/>
  <c r="Q38"/>
  <c r="P38"/>
  <c r="Q37"/>
  <c r="N37"/>
  <c r="L37"/>
  <c r="J37"/>
  <c r="H37"/>
  <c r="P37" s="1"/>
  <c r="F37"/>
  <c r="D37"/>
  <c r="C37"/>
  <c r="Q36"/>
  <c r="P36"/>
  <c r="N35"/>
  <c r="L35"/>
  <c r="Q35" s="1"/>
  <c r="J35"/>
  <c r="H35"/>
  <c r="H34" s="1"/>
  <c r="F35"/>
  <c r="D35"/>
  <c r="D34" s="1"/>
  <c r="D40" s="1"/>
  <c r="C35"/>
  <c r="N34"/>
  <c r="J34"/>
  <c r="F34"/>
  <c r="C34"/>
  <c r="C40" s="1"/>
  <c r="Q33"/>
  <c r="P33"/>
  <c r="N32"/>
  <c r="L32"/>
  <c r="Q32" s="1"/>
  <c r="J32"/>
  <c r="H32"/>
  <c r="P32" s="1"/>
  <c r="F32"/>
  <c r="D32"/>
  <c r="C32"/>
  <c r="Q31"/>
  <c r="P31"/>
  <c r="Q30"/>
  <c r="P30"/>
  <c r="Q29"/>
  <c r="N29"/>
  <c r="N28" s="1"/>
  <c r="L29"/>
  <c r="J29"/>
  <c r="J28" s="1"/>
  <c r="H29"/>
  <c r="P29" s="1"/>
  <c r="F29"/>
  <c r="F28" s="1"/>
  <c r="D29"/>
  <c r="C29"/>
  <c r="C28" s="1"/>
  <c r="L28"/>
  <c r="Q28" s="1"/>
  <c r="H28"/>
  <c r="P28" s="1"/>
  <c r="D28"/>
  <c r="Q27"/>
  <c r="P27"/>
  <c r="Q26"/>
  <c r="N26"/>
  <c r="L26"/>
  <c r="J26"/>
  <c r="H26"/>
  <c r="P26" s="1"/>
  <c r="F26"/>
  <c r="D26"/>
  <c r="C26"/>
  <c r="Q25"/>
  <c r="P25"/>
  <c r="Q24"/>
  <c r="P24"/>
  <c r="Q23"/>
  <c r="P23"/>
  <c r="Q22"/>
  <c r="P22"/>
  <c r="Q21"/>
  <c r="P21"/>
  <c r="N20"/>
  <c r="L20"/>
  <c r="Q20" s="1"/>
  <c r="J20"/>
  <c r="H20"/>
  <c r="H19" s="1"/>
  <c r="P19" s="1"/>
  <c r="F20"/>
  <c r="D20"/>
  <c r="D19" s="1"/>
  <c r="C20"/>
  <c r="N19"/>
  <c r="J19"/>
  <c r="F19"/>
  <c r="C19"/>
  <c r="P189" i="20" l="1"/>
  <c r="H232"/>
  <c r="P232" s="1"/>
  <c r="Q140"/>
  <c r="L189"/>
  <c r="Q99"/>
  <c r="L138"/>
  <c r="Q138" s="1"/>
  <c r="L42" i="19"/>
  <c r="Q43"/>
  <c r="L56"/>
  <c r="Q51"/>
  <c r="Q28"/>
  <c r="L27"/>
  <c r="Q27" s="1"/>
  <c r="H49"/>
  <c r="P42"/>
  <c r="P34" i="18"/>
  <c r="H40"/>
  <c r="P40" s="1"/>
  <c r="F40"/>
  <c r="N40"/>
  <c r="J40"/>
  <c r="L19"/>
  <c r="Q19" s="1"/>
  <c r="L34"/>
  <c r="P20"/>
  <c r="P35"/>
  <c r="Q189" i="20" l="1"/>
  <c r="L232"/>
  <c r="Q232" s="1"/>
  <c r="P49" i="19"/>
  <c r="H57"/>
  <c r="P57" s="1"/>
  <c r="Q56"/>
  <c r="L57"/>
  <c r="Q57" s="1"/>
  <c r="Q42"/>
  <c r="L49"/>
  <c r="Q49" s="1"/>
  <c r="Q34" i="18"/>
  <c r="L40"/>
  <c r="Q40" s="1"/>
  <c r="P42" i="16" l="1"/>
  <c r="Q36"/>
  <c r="P36"/>
  <c r="P35"/>
  <c r="Q33"/>
  <c r="P33"/>
  <c r="L36"/>
  <c r="L33"/>
  <c r="L35"/>
  <c r="H36"/>
  <c r="H35"/>
  <c r="H34"/>
  <c r="H33"/>
  <c r="D40"/>
  <c r="D39"/>
  <c r="D38"/>
  <c r="D36"/>
  <c r="D35"/>
  <c r="D34"/>
  <c r="D33"/>
  <c r="D32"/>
  <c r="O37"/>
  <c r="N37"/>
  <c r="M37"/>
  <c r="L37"/>
  <c r="K37"/>
  <c r="J37"/>
  <c r="I37"/>
  <c r="H37"/>
  <c r="G37"/>
  <c r="F37"/>
  <c r="E37"/>
  <c r="D37"/>
  <c r="C37"/>
  <c r="C32" s="1"/>
  <c r="F32"/>
  <c r="O33"/>
  <c r="M33"/>
  <c r="K33"/>
  <c r="I33"/>
  <c r="G33"/>
  <c r="F33"/>
  <c r="E33"/>
  <c r="C33"/>
  <c r="O22"/>
  <c r="M22"/>
  <c r="L22"/>
  <c r="K22"/>
  <c r="I22"/>
  <c r="H22"/>
  <c r="G22"/>
  <c r="F22"/>
  <c r="E22"/>
  <c r="D22"/>
  <c r="C22"/>
  <c r="C21" s="1"/>
  <c r="Q28" i="15" l="1"/>
  <c r="Q27"/>
  <c r="P27"/>
  <c r="O26"/>
  <c r="N26"/>
  <c r="M26"/>
  <c r="K26"/>
  <c r="J26"/>
  <c r="I26"/>
  <c r="G26"/>
  <c r="F26"/>
  <c r="E26"/>
  <c r="D26"/>
  <c r="L28"/>
  <c r="L26" s="1"/>
  <c r="L27"/>
  <c r="H28"/>
  <c r="P28" s="1"/>
  <c r="H27"/>
  <c r="D28"/>
  <c r="D27"/>
  <c r="C26"/>
  <c r="N29" i="14"/>
  <c r="N27" s="1"/>
  <c r="N24" s="1"/>
  <c r="N30" s="1"/>
  <c r="J29"/>
  <c r="H29" s="1"/>
  <c r="F29"/>
  <c r="F27" s="1"/>
  <c r="F24" s="1"/>
  <c r="F30" s="1"/>
  <c r="N28"/>
  <c r="L28" s="1"/>
  <c r="Q28" s="1"/>
  <c r="J28"/>
  <c r="H28" s="1"/>
  <c r="P28" s="1"/>
  <c r="F28"/>
  <c r="D28" s="1"/>
  <c r="O27"/>
  <c r="M27"/>
  <c r="K27"/>
  <c r="I27"/>
  <c r="G27"/>
  <c r="E27"/>
  <c r="C27"/>
  <c r="N26"/>
  <c r="L26"/>
  <c r="Q26" s="1"/>
  <c r="J26"/>
  <c r="H26"/>
  <c r="P26" s="1"/>
  <c r="F26"/>
  <c r="D26"/>
  <c r="O25"/>
  <c r="O24" s="1"/>
  <c r="O30" s="1"/>
  <c r="N25"/>
  <c r="M25"/>
  <c r="M24" s="1"/>
  <c r="M30" s="1"/>
  <c r="L25"/>
  <c r="Q25" s="1"/>
  <c r="K25"/>
  <c r="K24" s="1"/>
  <c r="K30" s="1"/>
  <c r="J25"/>
  <c r="I25"/>
  <c r="I24" s="1"/>
  <c r="I30" s="1"/>
  <c r="H25"/>
  <c r="P25" s="1"/>
  <c r="G25"/>
  <c r="G24" s="1"/>
  <c r="G30" s="1"/>
  <c r="F25"/>
  <c r="E25"/>
  <c r="E24" s="1"/>
  <c r="E30" s="1"/>
  <c r="D25"/>
  <c r="C25"/>
  <c r="C24" s="1"/>
  <c r="C30" s="1"/>
  <c r="N21"/>
  <c r="L21"/>
  <c r="Q21" s="1"/>
  <c r="J21"/>
  <c r="H21"/>
  <c r="P21" s="1"/>
  <c r="F21"/>
  <c r="D21"/>
  <c r="N20"/>
  <c r="L20"/>
  <c r="Q20" s="1"/>
  <c r="J20"/>
  <c r="H20"/>
  <c r="P20" s="1"/>
  <c r="F20"/>
  <c r="D20"/>
  <c r="N19"/>
  <c r="L19"/>
  <c r="Q19" s="1"/>
  <c r="J19"/>
  <c r="H19"/>
  <c r="P19" s="1"/>
  <c r="F19"/>
  <c r="D19"/>
  <c r="L18"/>
  <c r="H18"/>
  <c r="P18" s="1"/>
  <c r="F18"/>
  <c r="D18"/>
  <c r="Q18" s="1"/>
  <c r="O17"/>
  <c r="N17"/>
  <c r="N16" s="1"/>
  <c r="N22" s="1"/>
  <c r="N31" s="1"/>
  <c r="M17"/>
  <c r="L17"/>
  <c r="Q17" s="1"/>
  <c r="K17"/>
  <c r="J17"/>
  <c r="J16" s="1"/>
  <c r="J22" s="1"/>
  <c r="I17"/>
  <c r="H17"/>
  <c r="H16" s="1"/>
  <c r="G17"/>
  <c r="F17"/>
  <c r="F16" s="1"/>
  <c r="F22" s="1"/>
  <c r="E17"/>
  <c r="D17"/>
  <c r="D16" s="1"/>
  <c r="D22" s="1"/>
  <c r="C17"/>
  <c r="O16"/>
  <c r="O22" s="1"/>
  <c r="O31" s="1"/>
  <c r="M16"/>
  <c r="M22" s="1"/>
  <c r="M31" s="1"/>
  <c r="K16"/>
  <c r="K22" s="1"/>
  <c r="I16"/>
  <c r="I22" s="1"/>
  <c r="I31" s="1"/>
  <c r="G16"/>
  <c r="G22" s="1"/>
  <c r="G31" s="1"/>
  <c r="E16"/>
  <c r="E22" s="1"/>
  <c r="E31" s="1"/>
  <c r="C16"/>
  <c r="C22" s="1"/>
  <c r="H26" i="15" l="1"/>
  <c r="P26" s="1"/>
  <c r="Q26"/>
  <c r="H22" i="14"/>
  <c r="P16"/>
  <c r="H27"/>
  <c r="H24" s="1"/>
  <c r="F31"/>
  <c r="C31"/>
  <c r="K31"/>
  <c r="P17"/>
  <c r="D29"/>
  <c r="D27" s="1"/>
  <c r="D24" s="1"/>
  <c r="D30" s="1"/>
  <c r="D31" s="1"/>
  <c r="L29"/>
  <c r="L16"/>
  <c r="J27"/>
  <c r="J24" s="1"/>
  <c r="J30" s="1"/>
  <c r="J31" s="1"/>
  <c r="Q29" l="1"/>
  <c r="L27"/>
  <c r="L24" s="1"/>
  <c r="P24"/>
  <c r="H30"/>
  <c r="P30" s="1"/>
  <c r="L22"/>
  <c r="Q16"/>
  <c r="P22"/>
  <c r="H31"/>
  <c r="P31" s="1"/>
  <c r="P29"/>
  <c r="Q22" l="1"/>
  <c r="Q24"/>
  <c r="L30"/>
  <c r="Q30" s="1"/>
  <c r="L31" l="1"/>
  <c r="Q31" s="1"/>
  <c r="L83" i="21" l="1"/>
  <c r="Q83" s="1"/>
  <c r="H83"/>
  <c r="P83" s="1"/>
  <c r="D83"/>
  <c r="N82"/>
  <c r="L82" s="1"/>
  <c r="Q82" s="1"/>
  <c r="J82"/>
  <c r="H82" s="1"/>
  <c r="P82" s="1"/>
  <c r="D82"/>
  <c r="L81"/>
  <c r="H81"/>
  <c r="P81" s="1"/>
  <c r="D81"/>
  <c r="D80" s="1"/>
  <c r="D78" s="1"/>
  <c r="O80"/>
  <c r="M80"/>
  <c r="K80"/>
  <c r="K78" s="1"/>
  <c r="I80"/>
  <c r="G80"/>
  <c r="G78" s="1"/>
  <c r="F80"/>
  <c r="F78" s="1"/>
  <c r="E80"/>
  <c r="C80"/>
  <c r="C78" s="1"/>
  <c r="L79"/>
  <c r="Q79" s="1"/>
  <c r="H79"/>
  <c r="D79"/>
  <c r="O78"/>
  <c r="M78"/>
  <c r="I78"/>
  <c r="E78"/>
  <c r="L77"/>
  <c r="H77"/>
  <c r="P77" s="1"/>
  <c r="D77"/>
  <c r="L76"/>
  <c r="H76"/>
  <c r="P76" s="1"/>
  <c r="D76"/>
  <c r="O75"/>
  <c r="N75"/>
  <c r="M75"/>
  <c r="M74" s="1"/>
  <c r="M84" s="1"/>
  <c r="K75"/>
  <c r="J75"/>
  <c r="I75"/>
  <c r="I74" s="1"/>
  <c r="H75"/>
  <c r="G75"/>
  <c r="G74" s="1"/>
  <c r="G84" s="1"/>
  <c r="F75"/>
  <c r="E75"/>
  <c r="E74" s="1"/>
  <c r="D75"/>
  <c r="D74" s="1"/>
  <c r="D84" s="1"/>
  <c r="C75"/>
  <c r="C74" s="1"/>
  <c r="O74"/>
  <c r="N74"/>
  <c r="K74"/>
  <c r="J74"/>
  <c r="F74"/>
  <c r="L71"/>
  <c r="H71"/>
  <c r="H70" s="1"/>
  <c r="D71"/>
  <c r="D70" s="1"/>
  <c r="D69" s="1"/>
  <c r="O70"/>
  <c r="O69" s="1"/>
  <c r="N70"/>
  <c r="M70"/>
  <c r="M69" s="1"/>
  <c r="L70"/>
  <c r="Q70" s="1"/>
  <c r="K70"/>
  <c r="K69" s="1"/>
  <c r="J70"/>
  <c r="I70"/>
  <c r="I69" s="1"/>
  <c r="G70"/>
  <c r="G69" s="1"/>
  <c r="F70"/>
  <c r="E70"/>
  <c r="C70"/>
  <c r="C69" s="1"/>
  <c r="N69"/>
  <c r="J69"/>
  <c r="F69"/>
  <c r="E69"/>
  <c r="L68"/>
  <c r="L67" s="1"/>
  <c r="L66" s="1"/>
  <c r="H68"/>
  <c r="H67" s="1"/>
  <c r="H66" s="1"/>
  <c r="D68"/>
  <c r="O67"/>
  <c r="N67"/>
  <c r="N66" s="1"/>
  <c r="N72" s="1"/>
  <c r="M67"/>
  <c r="K67"/>
  <c r="K66" s="1"/>
  <c r="J67"/>
  <c r="J66" s="1"/>
  <c r="I67"/>
  <c r="I66" s="1"/>
  <c r="G67"/>
  <c r="F67"/>
  <c r="F66" s="1"/>
  <c r="E67"/>
  <c r="E66" s="1"/>
  <c r="C67"/>
  <c r="O66"/>
  <c r="M66"/>
  <c r="G66"/>
  <c r="C66"/>
  <c r="P65"/>
  <c r="L65"/>
  <c r="Q65" s="1"/>
  <c r="H65"/>
  <c r="D65"/>
  <c r="D64" s="1"/>
  <c r="D63" s="1"/>
  <c r="O64"/>
  <c r="N64"/>
  <c r="M64"/>
  <c r="M63" s="1"/>
  <c r="K64"/>
  <c r="K63" s="1"/>
  <c r="J64"/>
  <c r="J63" s="1"/>
  <c r="I64"/>
  <c r="I63" s="1"/>
  <c r="H64"/>
  <c r="G64"/>
  <c r="F64"/>
  <c r="F63" s="1"/>
  <c r="E64"/>
  <c r="E63" s="1"/>
  <c r="C64"/>
  <c r="O63"/>
  <c r="N63"/>
  <c r="H63"/>
  <c r="G63"/>
  <c r="C63"/>
  <c r="L60"/>
  <c r="L59" s="1"/>
  <c r="H60"/>
  <c r="H59" s="1"/>
  <c r="D60"/>
  <c r="D59" s="1"/>
  <c r="O59"/>
  <c r="N59"/>
  <c r="M59"/>
  <c r="K59"/>
  <c r="J59"/>
  <c r="I59"/>
  <c r="G59"/>
  <c r="F59"/>
  <c r="E59"/>
  <c r="C59"/>
  <c r="L58"/>
  <c r="H58"/>
  <c r="P58" s="1"/>
  <c r="D58"/>
  <c r="Q58" s="1"/>
  <c r="L57"/>
  <c r="H57"/>
  <c r="D57"/>
  <c r="D56" s="1"/>
  <c r="D55" s="1"/>
  <c r="O56"/>
  <c r="N56"/>
  <c r="M56"/>
  <c r="K56"/>
  <c r="J56"/>
  <c r="I56"/>
  <c r="G56"/>
  <c r="G55" s="1"/>
  <c r="F56"/>
  <c r="E56"/>
  <c r="C56"/>
  <c r="C55" s="1"/>
  <c r="O55"/>
  <c r="N55"/>
  <c r="M55"/>
  <c r="K55"/>
  <c r="J55"/>
  <c r="I55"/>
  <c r="F55"/>
  <c r="E55"/>
  <c r="L54"/>
  <c r="H54"/>
  <c r="D54"/>
  <c r="L53"/>
  <c r="H53"/>
  <c r="D53"/>
  <c r="L52"/>
  <c r="H52"/>
  <c r="D52"/>
  <c r="P52" s="1"/>
  <c r="L51"/>
  <c r="H51"/>
  <c r="D51"/>
  <c r="P51" s="1"/>
  <c r="L50"/>
  <c r="H50"/>
  <c r="D50"/>
  <c r="L49"/>
  <c r="H49"/>
  <c r="D49"/>
  <c r="L48"/>
  <c r="H48"/>
  <c r="D48"/>
  <c r="O47"/>
  <c r="N47"/>
  <c r="M47"/>
  <c r="M46" s="1"/>
  <c r="K47"/>
  <c r="K46" s="1"/>
  <c r="J47"/>
  <c r="I47"/>
  <c r="I46" s="1"/>
  <c r="G47"/>
  <c r="F47"/>
  <c r="F46" s="1"/>
  <c r="E47"/>
  <c r="E46" s="1"/>
  <c r="C47"/>
  <c r="C46" s="1"/>
  <c r="O46"/>
  <c r="N46"/>
  <c r="J46"/>
  <c r="G46"/>
  <c r="L45"/>
  <c r="H45"/>
  <c r="P45" s="1"/>
  <c r="D45"/>
  <c r="L44"/>
  <c r="H44"/>
  <c r="P44" s="1"/>
  <c r="D44"/>
  <c r="L43"/>
  <c r="H43"/>
  <c r="D43"/>
  <c r="P43" s="1"/>
  <c r="L42"/>
  <c r="H42"/>
  <c r="D42"/>
  <c r="O41"/>
  <c r="O40" s="1"/>
  <c r="O61" s="1"/>
  <c r="N41"/>
  <c r="N40" s="1"/>
  <c r="N61" s="1"/>
  <c r="M41"/>
  <c r="K41"/>
  <c r="K40" s="1"/>
  <c r="J41"/>
  <c r="I41"/>
  <c r="G41"/>
  <c r="G40" s="1"/>
  <c r="F41"/>
  <c r="F40" s="1"/>
  <c r="E41"/>
  <c r="E40" s="1"/>
  <c r="E61" s="1"/>
  <c r="C41"/>
  <c r="C40" s="1"/>
  <c r="M40"/>
  <c r="J40"/>
  <c r="J61" s="1"/>
  <c r="I40"/>
  <c r="I61" s="1"/>
  <c r="L37"/>
  <c r="Q37" s="1"/>
  <c r="H37"/>
  <c r="E37"/>
  <c r="D37"/>
  <c r="L36"/>
  <c r="L33" s="1"/>
  <c r="H36"/>
  <c r="D36"/>
  <c r="L35"/>
  <c r="H35"/>
  <c r="D35"/>
  <c r="L34"/>
  <c r="H34"/>
  <c r="D34"/>
  <c r="D33" s="1"/>
  <c r="O33"/>
  <c r="N33"/>
  <c r="M33"/>
  <c r="K33"/>
  <c r="J33"/>
  <c r="I33"/>
  <c r="G33"/>
  <c r="F33"/>
  <c r="E33"/>
  <c r="C33"/>
  <c r="L32"/>
  <c r="H32"/>
  <c r="H31" s="1"/>
  <c r="P31" s="1"/>
  <c r="D32"/>
  <c r="D31" s="1"/>
  <c r="Q31" s="1"/>
  <c r="O31"/>
  <c r="N31"/>
  <c r="M31"/>
  <c r="M21" s="1"/>
  <c r="L31"/>
  <c r="K31"/>
  <c r="J31"/>
  <c r="I31"/>
  <c r="G31"/>
  <c r="F31"/>
  <c r="E31"/>
  <c r="C31"/>
  <c r="L30"/>
  <c r="H30"/>
  <c r="D30"/>
  <c r="L29"/>
  <c r="Q29" s="1"/>
  <c r="H29"/>
  <c r="P29" s="1"/>
  <c r="D29"/>
  <c r="L28"/>
  <c r="Q28" s="1"/>
  <c r="H28"/>
  <c r="P28" s="1"/>
  <c r="D28"/>
  <c r="L27"/>
  <c r="H27"/>
  <c r="D27"/>
  <c r="L26"/>
  <c r="H26"/>
  <c r="D26"/>
  <c r="Q26" s="1"/>
  <c r="L25"/>
  <c r="Q25" s="1"/>
  <c r="H25"/>
  <c r="D25"/>
  <c r="P24"/>
  <c r="L24"/>
  <c r="H24"/>
  <c r="D24"/>
  <c r="L23"/>
  <c r="H23"/>
  <c r="D23"/>
  <c r="O22"/>
  <c r="N22"/>
  <c r="N21" s="1"/>
  <c r="M22"/>
  <c r="K22"/>
  <c r="J22"/>
  <c r="J21" s="1"/>
  <c r="I22"/>
  <c r="I21" s="1"/>
  <c r="G22"/>
  <c r="F22"/>
  <c r="F21" s="1"/>
  <c r="E22"/>
  <c r="C22"/>
  <c r="C21" s="1"/>
  <c r="E21"/>
  <c r="P20"/>
  <c r="L20"/>
  <c r="Q20" s="1"/>
  <c r="H20"/>
  <c r="D20"/>
  <c r="L19"/>
  <c r="H19"/>
  <c r="H18" s="1"/>
  <c r="D19"/>
  <c r="O18"/>
  <c r="O17" s="1"/>
  <c r="N18"/>
  <c r="N17" s="1"/>
  <c r="N38" s="1"/>
  <c r="M18"/>
  <c r="K18"/>
  <c r="K17" s="1"/>
  <c r="J18"/>
  <c r="J17" s="1"/>
  <c r="I18"/>
  <c r="I17" s="1"/>
  <c r="I38" s="1"/>
  <c r="G18"/>
  <c r="G17" s="1"/>
  <c r="F18"/>
  <c r="F17" s="1"/>
  <c r="E18"/>
  <c r="C18"/>
  <c r="C17" s="1"/>
  <c r="M17"/>
  <c r="E17"/>
  <c r="P49" l="1"/>
  <c r="P48"/>
  <c r="Q24"/>
  <c r="C38"/>
  <c r="F61"/>
  <c r="C84"/>
  <c r="C72"/>
  <c r="F84"/>
  <c r="P75"/>
  <c r="G38"/>
  <c r="G21"/>
  <c r="P35"/>
  <c r="E72"/>
  <c r="I72"/>
  <c r="J84"/>
  <c r="J80"/>
  <c r="J78" s="1"/>
  <c r="F38"/>
  <c r="P19"/>
  <c r="P23"/>
  <c r="P25"/>
  <c r="P30"/>
  <c r="K21"/>
  <c r="K38" s="1"/>
  <c r="K85" s="1"/>
  <c r="O21"/>
  <c r="G61"/>
  <c r="H41"/>
  <c r="Q50"/>
  <c r="Q52"/>
  <c r="Q57"/>
  <c r="P59"/>
  <c r="P64"/>
  <c r="M72"/>
  <c r="P68"/>
  <c r="K72"/>
  <c r="O72"/>
  <c r="H74"/>
  <c r="P74" s="1"/>
  <c r="O84"/>
  <c r="P79"/>
  <c r="F72"/>
  <c r="J72"/>
  <c r="K84"/>
  <c r="M38"/>
  <c r="P27"/>
  <c r="C61"/>
  <c r="H47"/>
  <c r="H46" s="1"/>
  <c r="G72"/>
  <c r="E38"/>
  <c r="E85" s="1"/>
  <c r="J38"/>
  <c r="O38"/>
  <c r="O85" s="1"/>
  <c r="P26"/>
  <c r="Q30"/>
  <c r="H33"/>
  <c r="P37"/>
  <c r="K61"/>
  <c r="D41"/>
  <c r="D40" s="1"/>
  <c r="Q44"/>
  <c r="Q45"/>
  <c r="Q48"/>
  <c r="Q49"/>
  <c r="H56"/>
  <c r="H55" s="1"/>
  <c r="P57"/>
  <c r="Q59"/>
  <c r="L69"/>
  <c r="Q69" s="1"/>
  <c r="E84"/>
  <c r="I84"/>
  <c r="Q76"/>
  <c r="Q77"/>
  <c r="H80"/>
  <c r="L80"/>
  <c r="Q80" s="1"/>
  <c r="P70"/>
  <c r="H69"/>
  <c r="P69" s="1"/>
  <c r="H40"/>
  <c r="I85"/>
  <c r="H17"/>
  <c r="P18"/>
  <c r="Q33"/>
  <c r="M85"/>
  <c r="J85"/>
  <c r="P33"/>
  <c r="M61"/>
  <c r="P55"/>
  <c r="Q19"/>
  <c r="Q27"/>
  <c r="Q43"/>
  <c r="Q51"/>
  <c r="L56"/>
  <c r="P63"/>
  <c r="Q68"/>
  <c r="L78"/>
  <c r="Q78" s="1"/>
  <c r="Q34"/>
  <c r="Q42"/>
  <c r="D47"/>
  <c r="D46" s="1"/>
  <c r="L47"/>
  <c r="Q60"/>
  <c r="Q71"/>
  <c r="D18"/>
  <c r="D17" s="1"/>
  <c r="L18"/>
  <c r="D22"/>
  <c r="D21" s="1"/>
  <c r="H22"/>
  <c r="L22"/>
  <c r="P32"/>
  <c r="P34"/>
  <c r="P42"/>
  <c r="P50"/>
  <c r="P60"/>
  <c r="D67"/>
  <c r="P71"/>
  <c r="N80"/>
  <c r="N78" s="1"/>
  <c r="N84" s="1"/>
  <c r="N85" s="1"/>
  <c r="Q81"/>
  <c r="Q23"/>
  <c r="Q35"/>
  <c r="Q32"/>
  <c r="L64"/>
  <c r="L75"/>
  <c r="L41"/>
  <c r="C85" l="1"/>
  <c r="F85"/>
  <c r="P80"/>
  <c r="H78"/>
  <c r="D61"/>
  <c r="P41"/>
  <c r="G85"/>
  <c r="P56"/>
  <c r="D66"/>
  <c r="Q67"/>
  <c r="H61"/>
  <c r="P40"/>
  <c r="Q56"/>
  <c r="L55"/>
  <c r="Q55" s="1"/>
  <c r="D38"/>
  <c r="H72"/>
  <c r="P67"/>
  <c r="P47"/>
  <c r="L74"/>
  <c r="Q75"/>
  <c r="Q41"/>
  <c r="L40"/>
  <c r="P22"/>
  <c r="H21"/>
  <c r="P21" s="1"/>
  <c r="Q22"/>
  <c r="L21"/>
  <c r="Q21" s="1"/>
  <c r="Q64"/>
  <c r="L63"/>
  <c r="Q18"/>
  <c r="L17"/>
  <c r="Q47"/>
  <c r="L46"/>
  <c r="Q46" s="1"/>
  <c r="P17"/>
  <c r="P46"/>
  <c r="L13" i="15"/>
  <c r="P61" i="21" l="1"/>
  <c r="P78"/>
  <c r="H84"/>
  <c r="P84" s="1"/>
  <c r="H38"/>
  <c r="L61"/>
  <c r="Q61" s="1"/>
  <c r="Q40"/>
  <c r="Q74"/>
  <c r="L84"/>
  <c r="Q84" s="1"/>
  <c r="D85"/>
  <c r="Q66"/>
  <c r="P66"/>
  <c r="D72"/>
  <c r="P38"/>
  <c r="H85"/>
  <c r="L38"/>
  <c r="Q17"/>
  <c r="L72"/>
  <c r="Q72" s="1"/>
  <c r="Q63"/>
  <c r="P72"/>
  <c r="L85" l="1"/>
  <c r="Q85" s="1"/>
  <c r="Q38"/>
  <c r="P85"/>
  <c r="L32" i="16" l="1"/>
  <c r="L41" s="1"/>
  <c r="O32"/>
  <c r="M32"/>
  <c r="K32"/>
  <c r="J32"/>
  <c r="J41" s="1"/>
  <c r="I32"/>
  <c r="G32"/>
  <c r="F41"/>
  <c r="E32"/>
  <c r="Q23"/>
  <c r="P23"/>
  <c r="P22"/>
  <c r="D21"/>
  <c r="O21"/>
  <c r="M21"/>
  <c r="L21"/>
  <c r="K21"/>
  <c r="I21"/>
  <c r="H21"/>
  <c r="G21"/>
  <c r="F21"/>
  <c r="E21"/>
  <c r="C30"/>
  <c r="F42" l="1"/>
  <c r="L42"/>
  <c r="H32"/>
  <c r="H41" s="1"/>
  <c r="O42"/>
  <c r="M42"/>
  <c r="E42"/>
  <c r="E41"/>
  <c r="I42"/>
  <c r="I41"/>
  <c r="G42"/>
  <c r="G41"/>
  <c r="K42"/>
  <c r="K41"/>
  <c r="D41"/>
  <c r="O41"/>
  <c r="Q22"/>
  <c r="M41"/>
  <c r="C41"/>
  <c r="C42"/>
  <c r="H42" l="1"/>
  <c r="D42"/>
  <c r="L30" i="15"/>
  <c r="H30"/>
  <c r="D30"/>
  <c r="P30" s="1"/>
  <c r="Q35" i="16"/>
  <c r="L30"/>
  <c r="H30"/>
  <c r="J30" s="1"/>
  <c r="D30"/>
  <c r="F30" s="1"/>
  <c r="N23"/>
  <c r="J23"/>
  <c r="Q21"/>
  <c r="P21"/>
  <c r="Q30" i="15" l="1"/>
  <c r="J21" i="16"/>
  <c r="J42" s="1"/>
  <c r="J22"/>
  <c r="N22"/>
  <c r="N21" s="1"/>
  <c r="N42" s="1"/>
  <c r="Q30"/>
  <c r="P30"/>
  <c r="Q32"/>
  <c r="P32"/>
  <c r="P41"/>
  <c r="Q41"/>
  <c r="Q42" l="1"/>
  <c r="H34" i="15" l="1"/>
  <c r="L15" l="1"/>
  <c r="L14"/>
  <c r="L12"/>
  <c r="H15"/>
  <c r="H14"/>
  <c r="H13"/>
  <c r="H12"/>
  <c r="D15"/>
  <c r="D14"/>
  <c r="D13"/>
  <c r="D12"/>
  <c r="O11"/>
  <c r="N11"/>
  <c r="M11"/>
  <c r="K11"/>
  <c r="J11"/>
  <c r="I11"/>
  <c r="G11"/>
  <c r="F11"/>
  <c r="E11"/>
  <c r="C11"/>
  <c r="P12" l="1"/>
  <c r="P15"/>
  <c r="P14"/>
  <c r="P13"/>
  <c r="Q12"/>
  <c r="Q15"/>
  <c r="Q14"/>
  <c r="Q13"/>
  <c r="L11"/>
  <c r="H11"/>
  <c r="D11"/>
  <c r="P11" l="1"/>
  <c r="Q11"/>
  <c r="J16" l="1"/>
  <c r="L22"/>
  <c r="L21"/>
  <c r="L20"/>
  <c r="L19"/>
  <c r="L18"/>
  <c r="L17"/>
  <c r="H22"/>
  <c r="H21"/>
  <c r="H20"/>
  <c r="H19"/>
  <c r="H18"/>
  <c r="H17"/>
  <c r="D22"/>
  <c r="D21"/>
  <c r="D20"/>
  <c r="D18"/>
  <c r="Q18" s="1"/>
  <c r="D17"/>
  <c r="O16"/>
  <c r="N16"/>
  <c r="M16"/>
  <c r="K16"/>
  <c r="I16"/>
  <c r="G16"/>
  <c r="F16"/>
  <c r="E16"/>
  <c r="C16"/>
  <c r="L24"/>
  <c r="H24"/>
  <c r="L25"/>
  <c r="H25"/>
  <c r="D25"/>
  <c r="O23"/>
  <c r="N23"/>
  <c r="M23"/>
  <c r="K23"/>
  <c r="J23"/>
  <c r="I23"/>
  <c r="G23"/>
  <c r="F23"/>
  <c r="E23"/>
  <c r="C23"/>
  <c r="L35"/>
  <c r="H35"/>
  <c r="D35"/>
  <c r="L34"/>
  <c r="L33"/>
  <c r="H33"/>
  <c r="D34"/>
  <c r="D33"/>
  <c r="O32"/>
  <c r="N32"/>
  <c r="M32"/>
  <c r="K32"/>
  <c r="J32"/>
  <c r="I32"/>
  <c r="G32"/>
  <c r="F32"/>
  <c r="E32"/>
  <c r="C32"/>
  <c r="O29"/>
  <c r="N29"/>
  <c r="M29"/>
  <c r="K29"/>
  <c r="J29"/>
  <c r="I29"/>
  <c r="G29"/>
  <c r="F29"/>
  <c r="E29"/>
  <c r="L31"/>
  <c r="L29" s="1"/>
  <c r="H31"/>
  <c r="H29" s="1"/>
  <c r="D31"/>
  <c r="D29" s="1"/>
  <c r="C29"/>
  <c r="Q20" l="1"/>
  <c r="P20"/>
  <c r="P29"/>
  <c r="Q29"/>
  <c r="P22"/>
  <c r="P25"/>
  <c r="Q25"/>
  <c r="Q24"/>
  <c r="Q35"/>
  <c r="P35"/>
  <c r="Q31"/>
  <c r="P31"/>
  <c r="P19"/>
  <c r="P24"/>
  <c r="P33"/>
  <c r="Q33"/>
  <c r="L32"/>
  <c r="P34"/>
  <c r="P17"/>
  <c r="P18"/>
  <c r="P21"/>
  <c r="D16"/>
  <c r="L16"/>
  <c r="H16"/>
  <c r="L23"/>
  <c r="H23"/>
  <c r="D23"/>
  <c r="Q34"/>
  <c r="H32"/>
  <c r="D32"/>
  <c r="E27"/>
  <c r="G27"/>
  <c r="I27"/>
  <c r="K27"/>
  <c r="M27"/>
  <c r="P23" l="1"/>
  <c r="Q23"/>
  <c r="Q32"/>
  <c r="P32"/>
  <c r="Q16"/>
  <c r="P16"/>
  <c r="M28" l="1"/>
  <c r="G28"/>
  <c r="O28"/>
  <c r="E28"/>
  <c r="K28"/>
  <c r="I28"/>
  <c r="O27"/>
  <c r="J36" l="1"/>
  <c r="M36"/>
  <c r="O36"/>
  <c r="G36"/>
  <c r="I36"/>
  <c r="E36"/>
  <c r="K36"/>
  <c r="N36"/>
  <c r="F36"/>
  <c r="H36" l="1"/>
  <c r="L36" l="1"/>
  <c r="D36" l="1"/>
  <c r="Q36" l="1"/>
  <c r="P36"/>
  <c r="N32" i="16"/>
  <c r="N41"/>
  <c r="Q34"/>
  <c r="P34"/>
  <c r="N34"/>
</calcChain>
</file>

<file path=xl/comments1.xml><?xml version="1.0" encoding="utf-8"?>
<comments xmlns="http://schemas.openxmlformats.org/spreadsheetml/2006/main">
  <authors>
    <author>Автор</author>
  </authors>
  <commentLis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sharedStrings.xml><?xml version="1.0" encoding="utf-8"?>
<sst xmlns="http://schemas.openxmlformats.org/spreadsheetml/2006/main" count="856" uniqueCount="584">
  <si>
    <t>Наименование мероприятий</t>
  </si>
  <si>
    <t>городской бюджет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</si>
  <si>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</si>
  <si>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</si>
  <si>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</si>
  <si>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Приложение 9
к Порядку разработки, реализации и оценки эффективности муниципальных программ МО "Городской округ "Город Нарьян-Мар"</t>
  </si>
  <si>
    <t>"Развитие предпринимательства в муниципальном образовании "Городской округ "Город Нарьян-Мар"</t>
  </si>
  <si>
    <t>в тыс. руб.</t>
  </si>
  <si>
    <t>Объем финансирования муниципальной программы</t>
  </si>
  <si>
    <t>План 
на 
2019 год</t>
  </si>
  <si>
    <t xml:space="preserve">ОТЧЕТ </t>
  </si>
  <si>
    <t>План за отчетный период</t>
  </si>
  <si>
    <t>% кассового исполнения за отчетный период</t>
  </si>
  <si>
    <t>% фактического исполнения за отчетный период</t>
  </si>
  <si>
    <t>в том числе</t>
  </si>
  <si>
    <t>иные источники</t>
  </si>
  <si>
    <t>1.1.</t>
  </si>
  <si>
    <t>Основное мероприятие:
Реализация мероприятий по поддержке и развитию малого и среднего предпринимательства</t>
  </si>
  <si>
    <t>1.1.1.</t>
  </si>
  <si>
    <t>Финансовая поддержка субъектов малого и среднего предпринимательства</t>
  </si>
  <si>
    <t xml:space="preserve">- предоставление грантов начинающим предпринимателям на создание собственного бизнеса </t>
  </si>
  <si>
    <t>- субсидия на возмещение части затрат по подготовке, переподготовке и повышению квалификации кадров субъектов малого и среднего предпринимательства (включая работников), прошедших обучение по направлениям, которые соответствуют их видам деятельности и необходимы для производства товаров, выполнения работы, оказания услуг</t>
  </si>
  <si>
    <t>1.2.</t>
  </si>
  <si>
    <t>1.2.1.</t>
  </si>
  <si>
    <t>2.1.</t>
  </si>
  <si>
    <t>Основное мероприятие:
Формирование благоприятной среды для развития малого и среднего предпринимательства в МО "Городской округ "Город Нарьян-Мар"</t>
  </si>
  <si>
    <t>2.1.1.</t>
  </si>
  <si>
    <t>2.1.2.</t>
  </si>
  <si>
    <t>Информационная поддержка развития малого и среднего предпринимательства</t>
  </si>
  <si>
    <t>-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</si>
  <si>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2.1.3.</t>
  </si>
  <si>
    <t>Повышение привлекательности предпринимательской деятельности</t>
  </si>
  <si>
    <t>- проведение конкурса "Лучший предприниматель  года"</t>
  </si>
  <si>
    <t>№</t>
  </si>
  <si>
    <t>Подпрограмма 2 "Популяризация предпринимательской деятельности  в муниципальном образовании "Городской округ "Город Нарьян-Мар"</t>
  </si>
  <si>
    <t>Итого по Программе</t>
  </si>
  <si>
    <t>Итого по Подпрограмме 1</t>
  </si>
  <si>
    <t>Итого по Подпрограмме 2</t>
  </si>
  <si>
    <t>Фактическое исполнение
за отчетный период</t>
  </si>
  <si>
    <t>Кассовое исполнение
за отчетный период</t>
  </si>
  <si>
    <t xml:space="preserve">СВОДНЫЙ ОТЧЕТ </t>
  </si>
  <si>
    <t>Наименование муниципальной программы муниципального образования</t>
  </si>
  <si>
    <t>Развитие предпринимательства в муниципальном образовании "Городской округ "Город Нарьян-Мар", в том числе:</t>
  </si>
  <si>
    <t xml:space="preserve">об исполнении муниципальных программ МО "Городской округ "Город Нарьян-Мар" </t>
  </si>
  <si>
    <t>Подпрограмма 1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</si>
  <si>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2 "Обеспечение деятельности Администрации МО "Городской округ "Город Нарьян-Мар"</t>
  </si>
  <si>
    <t>Подпрограмма 3 "Управление муниципальными финансами МО "Городской округ "Город Нарьян-Мар"</t>
  </si>
  <si>
    <t>Подпрограмма 4 "Управление и распоряжение муниципальным имуществом МО "Городской округ "Город Нарьян-Мар"</t>
  </si>
  <si>
    <t>Совершенствование и развитие муниципального управления в муниципальном образовании "Городской округ "Город Нарьян-Мар", в том числе:</t>
  </si>
  <si>
    <t>Подпрограмма 1 "Организация благоприятных и безопасных условий для проживания граждан"</t>
  </si>
  <si>
    <t>Подпрограмма 2 "Обеспечение безопасности жизнедеятельности населения городского округа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</si>
  <si>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</si>
  <si>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Подпрограмма 3 "Обеспечение безопасности эксплуатации автомобильных дорог местного значения и доступности общественных транспортных услуг"</t>
  </si>
  <si>
    <t>Подпрограмма 4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</si>
  <si>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Подпрограмма 5 "Обеспечение комфортных условий проживания на территории муниципального образования "Городской округ "Город Нарьян-Мар"</t>
  </si>
  <si>
    <t>Повышение уровня жизнеобеспечения и безопасности жизнедеятельности населения муниципального образования "Городской округ "Город Нарьян-Мар", в том числе:</t>
  </si>
  <si>
    <t>Формирование комфортной городской среды в муниципальном образовании "Городской округ "Город Нарьян-Мар", в том числе:</t>
  </si>
  <si>
    <t>Подпрограмма 1 "Приоритетный проект "Формирование комфортной городской среды (благоустройство дворовых и общественных территорий)"</t>
  </si>
  <si>
    <t xml:space="preserve">Подпрограмма 2 "Приоритетный проект "Формирование комфортной городской среды (благоустройство парков)"
</t>
  </si>
  <si>
    <t>Развитие институтов гражданского общества в муниципальном образовании "Городской округ "Город Нарьян-Мар", в том числе: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</si>
  <si>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</si>
  <si>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</si>
  <si>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Поддержка отдельных категорий граждан муниципального образования "Городской округ "Город Нарьян-Мар", в том числе:</t>
  </si>
  <si>
    <t>Подпрограмма 1 "Поддержка отдельных категорий граждан"</t>
  </si>
  <si>
    <t>Подпрограмма 2 "Пенсионное обеспечение отдельных категорий граждан"</t>
  </si>
  <si>
    <t>Повышение эффективности реализации молодежной политики в муниципальном образовании "Городской округ "Город Нарьян-Мар"</t>
  </si>
  <si>
    <t>Приложение 9</t>
  </si>
  <si>
    <t>к Порядку разработки, реализации</t>
  </si>
  <si>
    <t>и оценки эффективности муниципальных</t>
  </si>
  <si>
    <t>программ МО "Городской округ</t>
  </si>
  <si>
    <t>"Город Нарьян-Мар"</t>
  </si>
  <si>
    <t>Отчет</t>
  </si>
  <si>
    <t xml:space="preserve">о исполнении мероприятий муниципальной программы                         </t>
  </si>
  <si>
    <t xml:space="preserve">МО "Городской округ "Город Нарьян-Мар"    </t>
  </si>
  <si>
    <t>"Развитие институтов гражданского общества в муниципальном образовании "Городской округ "Город Нарьян-Мар"</t>
  </si>
  <si>
    <t>(заполняется ежеквартально нарастающим итогом с начала года)</t>
  </si>
  <si>
    <t>№ п/п</t>
  </si>
  <si>
    <t>План на 2019 год</t>
  </si>
  <si>
    <t>Кассовое исполнение за отчетный период</t>
  </si>
  <si>
    <t>Фактическое исполнение за отчетный период</t>
  </si>
  <si>
    <t>Всего</t>
  </si>
  <si>
    <t xml:space="preserve">Подпрограмма 1 "Развитие муниципальной системы поддержки некоммерческих организаций и общественных объединений граждан"
</t>
  </si>
  <si>
    <t>Основное мероприятие 1.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</t>
  </si>
  <si>
    <t>Финансовая поддержка некоммерческих организаций и общественных объединений граждан</t>
  </si>
  <si>
    <t>1.1.2.</t>
  </si>
  <si>
    <t>Информационная поддержка некоммерческих организаций и общественных объединений граждан</t>
  </si>
  <si>
    <t>Размещение общественно значимой информации о деятельности социально ориентированных некоммерческих организаций, общественных объединений граждан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</si>
  <si>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на территории МО "Городской округ "Город Нарьян-Мар"</t>
  </si>
  <si>
    <t>1.1.3.</t>
  </si>
  <si>
    <t>Организационная поддержка некоммерческих организаций и общественных объединений граждан</t>
  </si>
  <si>
    <t>Оказание консультационных услуг участникам программы</t>
  </si>
  <si>
    <t>Оказание помощи в организации собраний, встреч и круглых столов участникам программы</t>
  </si>
  <si>
    <t>Итого по основному мероприятию, оказанию поддержки некоммерческим организациям в реализации гражданских инициатив и стимулированию участия населения в осуществлении местного самоуправления в т.ч.:</t>
  </si>
  <si>
    <t xml:space="preserve">Подпрограмма 2  "Совершенствование системы территориального общественного самоуправления"
</t>
  </si>
  <si>
    <t>Основное мероприятие 1. Мероприятия, направленные на развитие и поддержку территориального общественного самоуправления</t>
  </si>
  <si>
    <t>Финансовая поддержка территориального общественного самоуправления</t>
  </si>
  <si>
    <t>Популяризация деятельности территориального общественного самоуправления</t>
  </si>
  <si>
    <t>Размещение общественно значимой информации о деятельности территориальных общественных самоуправлений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</si>
  <si>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территориальными общественными самоуправлениями на территории МО "Городской округ "Город Нарьян-Мар"</t>
  </si>
  <si>
    <t>Итого по основному мероприятию</t>
  </si>
  <si>
    <t xml:space="preserve">Всего по Программе </t>
  </si>
  <si>
    <t>Кассовое исполнение</t>
  </si>
  <si>
    <t>1.1 Основное мероприятие: выплаты, осуществляемые в рамках предоставления мер поддержки отдельным категориям граждан</t>
  </si>
  <si>
    <t>1.1.1 Единовременная денежная выплата гражданам, которые награждаются Почетной грамотой МО "Городской округ "Город Нарьян-Мар</t>
  </si>
  <si>
    <t>1.1.2 Единовременная денежная выплата гражданам, которым присваивается звание "Ветеран города Нарьян-Мара"</t>
  </si>
  <si>
    <t>1.1.3 Выплаты гражданам, которым присвоено звание "Почетный гражданин города Нарьян-Мара"</t>
  </si>
  <si>
    <t>1.1.4 Выплаты гражданам, награжденным знаком отличия "За заслуги перед городом Нарьян-Маром"</t>
  </si>
  <si>
    <t>1.1.5 Подписка на общественно-политическую газету Ненецкого автономного округа "Няръяна вындер" лицам, имеющим право на бесплатную подписку</t>
  </si>
  <si>
    <t>1.1.7 Единовременная материальная помощь</t>
  </si>
  <si>
    <t>1.1.1 Пенсии за выслугу лет лицам, замещавшим должности муниципальной службы в муниципальном образовании "Городской округ "Город Нарьян-Мар"</t>
  </si>
  <si>
    <t>1.1.2 Пенсии за выслугу лет к страховой пенсии по старости (инвалидности) лицам, замещавшим выборные должности в МО "Городской округ "Город Нарьян-Мар"</t>
  </si>
  <si>
    <t>1. Основное мероприятие: формирование системы продвижения инициативной и талантливой молодежи</t>
  </si>
  <si>
    <t>1.1. Мероприятия, направленные на самореализацию молодежи</t>
  </si>
  <si>
    <t>1.1.1 Семинар "Школа лидеров"</t>
  </si>
  <si>
    <t>1.1.2 День самоуправления</t>
  </si>
  <si>
    <t>1.1.3 Проведение игр КВН в г. Нарьян-Маре</t>
  </si>
  <si>
    <t>1.1.4 Акция "Мой подарок городу"</t>
  </si>
  <si>
    <t>1.1.5 Новогоднее мероприятие для молодых семей</t>
  </si>
  <si>
    <t>1.2 Мероприятия, направленные на поддержку и социализацию молодежи</t>
  </si>
  <si>
    <t>1.2.1 Участие молодежи города во Всероссийских форумах</t>
  </si>
  <si>
    <t>2. Основное мероприятие: военно-патриотическое воспитание молодежи</t>
  </si>
  <si>
    <t>2.1 Организация досугово-спортивных мероприятий</t>
  </si>
  <si>
    <t>2.1.1. Городская военно-спортивная игра "К защите Родины готов"</t>
  </si>
  <si>
    <t>2.1.2 Участие команды города Нарьян-Мара в спортивно-туристическом слете "Дорогами отцов-героев"</t>
  </si>
  <si>
    <t>2.2 Реализация мероприятий, направленных на исполнение социальных обязательств и развитие добровольчества</t>
  </si>
  <si>
    <t>2.2.1 Сотрудничество с МПК "Нарьян-Мар"</t>
  </si>
  <si>
    <t>3. Основное мероприятие: формирование здорового образа жизни, профилактика асоциальных проявлений в молодежной среде</t>
  </si>
  <si>
    <t>3.1 Информационно-просветительская профилактика</t>
  </si>
  <si>
    <t>3.1.1. Профилактика асоциальных проявлений с использованием средств массовой информации и изготовлением агитационных материалов</t>
  </si>
  <si>
    <t>3.2 Коррекционная профилактика асоциальных проявлений</t>
  </si>
  <si>
    <t>3.2.1. Ежегодная акция "Мои здоровые выходные</t>
  </si>
  <si>
    <t>3.2.2. Участие молодежи города, стоящей на профилактических учетах, в семинарах, тренингах и адаптационных программах</t>
  </si>
  <si>
    <t xml:space="preserve">"Формирование комфортной городской среды в муниципальном образовании "Городской округ "Город Нарьян-Мар"  
 </t>
  </si>
  <si>
    <t>1.1</t>
  </si>
  <si>
    <t xml:space="preserve">Благоустройство общественных территорий
</t>
  </si>
  <si>
    <t>Софинансирование расходных обязательств по благоустройству территорий (Реализация комплексных проектов по благоустройству общественных территорий)</t>
  </si>
  <si>
    <t>Реализация комплексных проектов по благоустройству общественных территорий</t>
  </si>
  <si>
    <t>Обустройство общественной территории (район улицы Смидовича (вдоль улицы Победы от Вечного огня)). 1 этап</t>
  </si>
  <si>
    <t xml:space="preserve"> Региональный проект Ненецкого автономного округа "Формирование комфортной городской среды"</t>
  </si>
  <si>
    <t>Реализация программ формирования современной городской среды</t>
  </si>
  <si>
    <t xml:space="preserve">Устройство спортивной  игровой площадки по пер. Рождественский в районе д. 16 </t>
  </si>
  <si>
    <t>Обустройство общественной территории на пересечении ул.Ненецкой и ул.Смидовича  в районе Центра занятости</t>
  </si>
  <si>
    <t>1.3.</t>
  </si>
  <si>
    <t>Благоустройство территорий</t>
  </si>
  <si>
    <t>1.3.1.</t>
  </si>
  <si>
    <t>Cофинансирование расходных обязательств по благоустройству территорий (Реализация мероприятий по благоустройству территорий)</t>
  </si>
  <si>
    <t>1.3.2.</t>
  </si>
  <si>
    <t>Реализация мероприятий по благоустройству территорий</t>
  </si>
  <si>
    <t xml:space="preserve">Обустройство общественной территории  в районе средней школы № 5  </t>
  </si>
  <si>
    <t>1.4.</t>
  </si>
  <si>
    <t>Обеспечение разработки проектов, согласования и оформление требований (разрешений) по объектам благоустройства</t>
  </si>
  <si>
    <t>1.4.1.</t>
  </si>
  <si>
    <t>Расходы на проекты, согласование и оформление требований (разрешений)</t>
  </si>
  <si>
    <t>Разработка дизайн-проектов</t>
  </si>
  <si>
    <t>Согласование проектов</t>
  </si>
  <si>
    <t>Проектирование благоустройства территории в районе ул. Ленина, 44</t>
  </si>
  <si>
    <t xml:space="preserve">Реализация проектов по поддержке местных инициатив  </t>
  </si>
  <si>
    <t xml:space="preserve">Субсидии бюджетам муниципальных образований Ненецкого автономного округа на реализацию проектов по поддержке местных инициатив </t>
  </si>
  <si>
    <t>Софинансирование расходных обязательств по реализации проекта по поддержке местных инициатив</t>
  </si>
  <si>
    <t>Софинансирование расходных обязательств по реализации проекта по поддержке местных инициатив за счет денежных средств физических и юридических лиц, в том числе добровольных пожертвований</t>
  </si>
  <si>
    <t xml:space="preserve">Благоустройство территории в районе д. № 42 по ул. им. 60 лет Октября </t>
  </si>
  <si>
    <t>Всего по Подпрограмме 1</t>
  </si>
  <si>
    <t>Подпрограмма 2 "Приоритетный проект "Формирование комфортной городской среды (благоустройство парков)"</t>
  </si>
  <si>
    <t xml:space="preserve">Создание условий для массового отдыха жителей городского округа и организация обустройства мест массового отдыха населения
</t>
  </si>
  <si>
    <t>Софинансирование обустройства мест массового отдыха населения (городских парков)</t>
  </si>
  <si>
    <t>Обустройство мест массового отдыха населения (городских парков)</t>
  </si>
  <si>
    <t>Обустройство городского парка в районе ул. Юбилейная в г. Нарьян-Маре</t>
  </si>
  <si>
    <t>Всего по Подпрограмме 2</t>
  </si>
  <si>
    <t>Всего по Программе</t>
  </si>
  <si>
    <t xml:space="preserve"> "Повышение уровня жизнеобеспечения и безопасности жизнедеятельности населения муниципального образования "Городской округ  "Город Нарьян-Мар"
 </t>
  </si>
  <si>
    <t xml:space="preserve">Основное мероприятие: Проведение мероприятий по сносу домов, признанных в установленном порядке ветхими или аварийными и непригодными для проживания
</t>
  </si>
  <si>
    <t>Снос жилищного фонда, непригодного для проживания</t>
  </si>
  <si>
    <t xml:space="preserve"> Основное мероприятие: Повышение качества содержания жилищного фонда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</si>
  <si>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</si>
  <si>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1.2.2.</t>
  </si>
  <si>
    <t>Субсидии на компенсацию расходов, связанных с водоотведением  в части размещения сточных вод из септиков и выгребных ям</t>
  </si>
  <si>
    <t>Основное мероприятие: Обеспечение населения города Нарьян-Мара доступными жилищно-коммунальными и бытовыми услугами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</si>
  <si>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</si>
  <si>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</si>
  <si>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>Проектирование врезки в действующий водовод в районе Городецкой курьи в г. Нарьян-Маре</t>
  </si>
  <si>
    <t>Проектирование коллектора от КГ 1 до КНС в п. Новый г.Нарьян-Мара</t>
  </si>
  <si>
    <t xml:space="preserve">Основное мероприятие: Мероприятия в сфере обеспечения общественного порядка, профилактика терроризма, экстремизма
</t>
  </si>
  <si>
    <t>Обеспечение общественного порядка, профилактика терроризма, экстремизма</t>
  </si>
  <si>
    <t>Разработка и распространение среди населения памяток (листовок) о порядке действия при совершении в отношении них правонарушений, а также печатных изданий, направленных на противодействие идеологии терроризма и экстремизма.</t>
  </si>
  <si>
    <t>Денежное поощрение членам народной дружины МО "Городской округ "Город Нарьян-Мар", участвующим в охране общественного порядка</t>
  </si>
  <si>
    <t>2.2.</t>
  </si>
  <si>
    <t>Основное мероприятие: Мероприятия в сфере гражданской обороны и чрезвычайных ситуаций</t>
  </si>
  <si>
    <t>2.2.1.</t>
  </si>
  <si>
    <t>Обеспечение противопаводковых мероприятий</t>
  </si>
  <si>
    <t xml:space="preserve">Выполнение работ по разработке (выравниванию) песка с целью защиты г. Нарьян-Мара от затопления паводковыми водами </t>
  </si>
  <si>
    <t>Осуществление закупок (услуг) по сбору гидрометеорологической информации в период весеннего половодья</t>
  </si>
  <si>
    <t>2.2.2.</t>
  </si>
  <si>
    <t>Мероприятия по предупреждению и ликвидации чрезвычайных ситуаций</t>
  </si>
  <si>
    <t>Осуществление закупок (услуг) предоставляемых предприятиями и организациями для предупреждения и ликвидации последствий ЧС</t>
  </si>
  <si>
    <t>Создание резерва материальных ресурсов для предупреждения  и ликвидации ЧС</t>
  </si>
  <si>
    <t>Организация обучения неработающего населения основам гражданской обороны</t>
  </si>
  <si>
    <t>2.2.3.</t>
  </si>
  <si>
    <t xml:space="preserve">Обеспечение пожарной безопасности </t>
  </si>
  <si>
    <t>Осуществление закупок емкостей (4 шт. объемом на менее 25 м³) в целях обеспечения пожарной безопасности на территории полигона твердых бытовых отходов</t>
  </si>
  <si>
    <t>Осуществление закупок средств малой механизации (бензорез 1 комплект)</t>
  </si>
  <si>
    <t>Обеспечение первичных мер пожарной безопасности</t>
  </si>
  <si>
    <t>Капитальный ремонт пожарных водоемов</t>
  </si>
  <si>
    <t>Подпрограмма  3 "Обеспечение безопасности эксплуатации автомобильных дорог местного значения и доступности общественных транспортных услуг"</t>
  </si>
  <si>
    <t>3.1.</t>
  </si>
  <si>
    <t xml:space="preserve">Основное мероприятие: Обеспечение доступности транспорта общего пользования для населения МО "Городской округ "Город Нарьян-Мар"
</t>
  </si>
  <si>
    <t>3.1.1.</t>
  </si>
  <si>
    <t xml:space="preserve"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
</t>
  </si>
  <si>
    <t xml:space="preserve">3.2. </t>
  </si>
  <si>
    <t>Обеспечение содержание автомобильных дорог местного значения</t>
  </si>
  <si>
    <t xml:space="preserve">3.2.1. </t>
  </si>
  <si>
    <t>Содержание объектов дорожного хозяйства</t>
  </si>
  <si>
    <t>Уборка территории и аналогичная деятельность</t>
  </si>
  <si>
    <t>3.3.</t>
  </si>
  <si>
    <t>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</t>
  </si>
  <si>
    <t>3.3.1.</t>
  </si>
  <si>
    <t>Обследование и  разработка проектных документаций  на автомобильные дороги местного значения г. Нарьян-Мара</t>
  </si>
  <si>
    <t>Проведение паспортизации и диагностики автомобильных дорого местного значения</t>
  </si>
  <si>
    <t>Проведение государственной экспертизы по проекту "Разработка проектной документации на строительство перехода через р. Городецкая на автомобильной дороге к полигону твёрдых бытовых отходов в г. Нарьян-Маре"</t>
  </si>
  <si>
    <t>3.3.2.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</si>
  <si>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</si>
  <si>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 xml:space="preserve">Лизинг </t>
  </si>
  <si>
    <t>Приобретение коммунальной техники</t>
  </si>
  <si>
    <t>3.3.3.</t>
  </si>
  <si>
    <t>Приведение улично-дорожной сети и пешеходных переходов в нормативное состояние</t>
  </si>
  <si>
    <t>Приобретение ограждений</t>
  </si>
  <si>
    <t>Отсыпка и устройство гравийного покрытия автомобильного проезда по ул. Бондарная</t>
  </si>
  <si>
    <t>Расширение автомобильной стоянки в районе дома № 8 по пр. им. Капитана Матросова в г. Нарьян-Маре</t>
  </si>
  <si>
    <t>Обустройство пешеходного перехода на автомобильной дороге по ул. им. С.Н. Калмыкова в г. Нарьян-Маре</t>
  </si>
  <si>
    <t>Обустройство тротуаров в районе дома № 3 по пр. им. Капитана Матросова в г. Нарьян-Маре</t>
  </si>
  <si>
    <t>Устройство тротуаров в районе дома № 43А по ул. им. В.И. Ленина, г. Нарьян-Мар</t>
  </si>
  <si>
    <t>Устройство тротуара по ул. им. В.И. Ленина, д. 50 до ул. Рыбников, г. Нарьян-Мар</t>
  </si>
  <si>
    <t>Устройство тротуара по ул. Ненецкая по четной стороне улицы от перекрестка ул. Ненецкой с ул. Выучейского до перекрестка ул. Ненецкой и ул. Оленной</t>
  </si>
  <si>
    <t>Устройство тротуара по ул. им. В.И. Ленина, д. 5 до ул. Первомайская, д. 34 г. Нарьян-Мар</t>
  </si>
  <si>
    <t>Ремонт междворовых проездов в г. Нарьян-Маре</t>
  </si>
  <si>
    <t>Устройство автомобильной стоянки в районе детского сада "Ромашка" по ул. им. В.В. Сущинского в г. Нарьян-Маре</t>
  </si>
  <si>
    <t>3.3.4.</t>
  </si>
  <si>
    <t>3.4.</t>
  </si>
  <si>
    <t>Ремонт гаражных боксов МУП Нарьян-Марского АТП</t>
  </si>
  <si>
    <t>Всего по Подпрограмме 3</t>
  </si>
  <si>
    <t>Подпрограмма  4 "Обеспечение предоставления качественных услуг потребителям в сфере жилищно-коммунального хозяйства, степени устойчивости и надёжности функционирования коммунальных систем на территории муниципального образования"</t>
  </si>
  <si>
    <t>4.1.</t>
  </si>
  <si>
    <t xml:space="preserve"> Основное мероприятие: Подготовка объектов коммунальной инфраструктуры к осенне-зимнему периоду</t>
  </si>
  <si>
    <t>4.1.1.</t>
  </si>
  <si>
    <t>Софинансирование капитального ремонта систем коммунальной инфраструктуры</t>
  </si>
  <si>
    <t>4.1.2.</t>
  </si>
  <si>
    <t>Капитальный ремонт систем коммунальной инфраструктуры</t>
  </si>
  <si>
    <t>Подготовка объектов коммунальной инфраструктуры к осенне-зимнему периоду</t>
  </si>
  <si>
    <t>4.2.</t>
  </si>
  <si>
    <t>Основное мероприятие: Модернизация муниципальных объектов коммунальной инфраструктуры</t>
  </si>
  <si>
    <t>4.2.1.</t>
  </si>
  <si>
    <t>Организация газоснабжения населения МО "Городской округ "Город Нарьян-Мар"</t>
  </si>
  <si>
    <t>Проектирование сети газопровода от ул. 60 летия Октября до дома № 32 по ул. Набережной г. Нарьян-Мара</t>
  </si>
  <si>
    <t>4.3.</t>
  </si>
  <si>
    <t>Основное мероприятие: Мероприятие по энергосбережению и повышению энергетической эффективности жилищного фонда</t>
  </si>
  <si>
    <t>4.3.1.</t>
  </si>
  <si>
    <t>Актуализация схемы теплоснабжения</t>
  </si>
  <si>
    <t>Всего по Подпрограмме 4</t>
  </si>
  <si>
    <t>5.1.</t>
  </si>
  <si>
    <t xml:space="preserve">Основное мероприятие:
Обеспечение условий для благоприятного проживания и отдыха жителей муниципального образования "Городской округ "Город  Нарьян-Мар"
</t>
  </si>
  <si>
    <t>5.1.1.</t>
  </si>
  <si>
    <t>Организация освещения улиц</t>
  </si>
  <si>
    <t>5.1.2.</t>
  </si>
  <si>
    <t>Санитарное содержание и обустройство территории спортивно-игровых площадок</t>
  </si>
  <si>
    <t>Санитарное содержание территории пешеходной зоны</t>
  </si>
  <si>
    <t>Содержание и ликвидация помойниц</t>
  </si>
  <si>
    <t>Ликвидация несанкционированных свалок</t>
  </si>
  <si>
    <t>Санитарное содержание междворовых проездов</t>
  </si>
  <si>
    <t>5.1.3.</t>
  </si>
  <si>
    <t xml:space="preserve">Организация мероприятий </t>
  </si>
  <si>
    <t>5.1.4.</t>
  </si>
  <si>
    <t>Организация благоустройства и озеленения</t>
  </si>
  <si>
    <t>5.1.5.</t>
  </si>
  <si>
    <t>Содержание (эксплуатация) имущества, находящегося в муниципальной собственности</t>
  </si>
  <si>
    <t>5.1.6.</t>
  </si>
  <si>
    <t>Приобретение и установка элементов праздничного и тематического оформления города Нарьян-Мара</t>
  </si>
  <si>
    <t xml:space="preserve">5.2. </t>
  </si>
  <si>
    <t xml:space="preserve">Основное мероприятие:
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Нарьян-Мар""
</t>
  </si>
  <si>
    <t>5.2.1.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</si>
  <si>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</si>
  <si>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5.2.2.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</si>
  <si>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</si>
  <si>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5.2.3.</t>
  </si>
  <si>
    <t>Организация и содержание мест захоронения</t>
  </si>
  <si>
    <t>5.2.4.</t>
  </si>
  <si>
    <t>Организация ритуальных услуг и содержание мест захоронения</t>
  </si>
  <si>
    <t>Всего по Подпрограмме 5</t>
  </si>
  <si>
    <t>Подпрограмма  6 "Создание дополнительных условий для обеспечения жилищных прав граждан, проживающих в МО "Городской округ "Город Нарьян-Мар"</t>
  </si>
  <si>
    <t>6.1.</t>
  </si>
  <si>
    <t xml:space="preserve">Основное мероприятие:
Обеспечение жильем молодых семей
</t>
  </si>
  <si>
    <t>6.1.1.</t>
  </si>
  <si>
    <t>Реализация мероприятий по обеспечению жильем молодых семей</t>
  </si>
  <si>
    <t>6.2.</t>
  </si>
  <si>
    <t xml:space="preserve">Основное мероприятие:
Компенсационные выплаты гражданам, являющимся заемщиками ипотечных кредитов на приобретение (строительство) жилья
</t>
  </si>
  <si>
    <t>6.2.1.</t>
  </si>
  <si>
    <t xml:space="preserve">Жилищные компенсационные выплаты по оплате процентов за пользование кредитом на приобретение (строительство) жилья
</t>
  </si>
  <si>
    <t>Всего по Подпрограмме 6</t>
  </si>
  <si>
    <t>"Совершенствование и развитие муниципального управления в муниципальном образовании "Городской округ "Город Нарьян-Мар"</t>
  </si>
  <si>
    <t>Ответственный исполнитель: управление экономического и инвестиционного развития Администрации МО "Городской округ "Город Нарьян-Мар"</t>
  </si>
  <si>
    <t>Основное мероприятие:
Финансовое обеспечение деятельности Администрации МО "Городской округ "Город Нарьян-Мар"</t>
  </si>
  <si>
    <t>1.1.1</t>
  </si>
  <si>
    <t>Расходы на содержание органов местного самоуправления и обеспечение их функций</t>
  </si>
  <si>
    <t>- обеспечение деятельности Администрации МО "Городской округ "Город Нарьян-Мар"</t>
  </si>
  <si>
    <t>- профессиональная переподготовка, повышение квалификации</t>
  </si>
  <si>
    <t>1.2</t>
  </si>
  <si>
    <t>Основное мероприятие:
Обеспечение проведения и участия в праздничных и официальных мероприятиях</t>
  </si>
  <si>
    <t>1.2.1</t>
  </si>
  <si>
    <t>- приобретение цветочной продукции</t>
  </si>
  <si>
    <t>- приобретение продуктов питания для организации торжественного вечера чествования ветеранов г.Нарьян-Мара и Почетных граждан города, чествование ветеранов ВОВ</t>
  </si>
  <si>
    <t>- приобретение венков</t>
  </si>
  <si>
    <t>- автотранспортные услуги</t>
  </si>
  <si>
    <t>- экскурсионные мероприятия</t>
  </si>
  <si>
    <t>1.2.2</t>
  </si>
  <si>
    <t>Участие в общественных организациях, объединяющих муниципальные образования общероссийского и международного уровней</t>
  </si>
  <si>
    <t xml:space="preserve">- членские взносы за участие в общественных организациях, объединяющих муниципальные образования общероссийского и международного уровня </t>
  </si>
  <si>
    <t>1.3</t>
  </si>
  <si>
    <t>Основное мероприятие:
Осуществление переданных государственных полномочий</t>
  </si>
  <si>
    <t>1.3.1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</si>
  <si>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</si>
  <si>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1.3.2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</si>
  <si>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</si>
  <si>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1.3.3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</si>
  <si>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</si>
  <si>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1.3.4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</si>
  <si>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</si>
  <si>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2.1</t>
  </si>
  <si>
    <t>Основное мероприятие:
Обеспечение деятельности Администрации МО "Городской округ "Город Нарьян-Мар"</t>
  </si>
  <si>
    <t>2.1.1</t>
  </si>
  <si>
    <t>- обеспечение Администрации МО "Городской округ "Город Нарьян-Мар" услугами связи, подписка на периодические издания</t>
  </si>
  <si>
    <t>- транспортное обеспечение Администрации МО "Городской округ "Город Нарьян-Мар"</t>
  </si>
  <si>
    <t>- обеспечение Администрации МО "Городской округ "Город Нарьян-Мар" основными средствами, материальными запасами</t>
  </si>
  <si>
    <t>- модернизация системы безопасности (система контроля доступа посетителей (пункт охраны), шлюз безопасности  (для защиты доступа в интернет)</t>
  </si>
  <si>
    <t>2.1.2</t>
  </si>
  <si>
    <t>- обеспечение деятельности МКУ "УГХ г. Нарьян-Мара"</t>
  </si>
  <si>
    <t>- повышение квалификации, подготовка и переподготовка специалистов, участие в семинарах</t>
  </si>
  <si>
    <t>2.2</t>
  </si>
  <si>
    <t>Основное мероприятие:
Освещение деятельности органов местного самоуправления МО "Городской округ "Город Нарьян-Мар"</t>
  </si>
  <si>
    <t>2.2.1</t>
  </si>
  <si>
    <t>Организационно-информационное обеспечение</t>
  </si>
  <si>
    <t>- печать официального бюллетеня МО "Городской округ "Город Нарьян-Мар" "Наш город"</t>
  </si>
  <si>
    <t>- печать сборника нормативных правовых актов Администрации МО "Городской округ "Город Нарьян-Мар"</t>
  </si>
  <si>
    <t>- размещение информации в радиоэфире</t>
  </si>
  <si>
    <t>- размещение информации в телеэфире</t>
  </si>
  <si>
    <t>- размещение информации в общественно-политической газете Ненецкого автономного округа "Няръяна вындер"</t>
  </si>
  <si>
    <t>- разработка и сопровождение сайта по истории города Нарьян-Мара</t>
  </si>
  <si>
    <t>- информационное сопровождение в региональных СМИ</t>
  </si>
  <si>
    <t>3.1</t>
  </si>
  <si>
    <t>Основное мероприятие:
Обеспечение деятельности Управления финансов Администрации МО "Городской округ "Город Нарьян-Мар"</t>
  </si>
  <si>
    <t>3.1.1</t>
  </si>
  <si>
    <t>- финансовое обеспечение выполнения функций</t>
  </si>
  <si>
    <t>3.2</t>
  </si>
  <si>
    <t>Основное мероприятие:
Комплексная автоматизация бюджетного процесса</t>
  </si>
  <si>
    <t>3.2.1</t>
  </si>
  <si>
    <t>Мероприятия в сфере информатизации управления финансами</t>
  </si>
  <si>
    <t>- расширение и модернизация функционала  автоматизированных систем управления муниципальными финансами</t>
  </si>
  <si>
    <t>3.3</t>
  </si>
  <si>
    <t>Основное мероприятие:
Расходы на исполнение долговых обязательств</t>
  </si>
  <si>
    <t>3.3.1</t>
  </si>
  <si>
    <t>Обслуживание муниципального долга</t>
  </si>
  <si>
    <t>- расчет расходов на исполнение долговых обязательств</t>
  </si>
  <si>
    <t>Итого по Подпрограмме 3</t>
  </si>
  <si>
    <t>4.1</t>
  </si>
  <si>
    <t>Основное мероприятие:
Мероприятия в сфере имущественных и земельных отношений</t>
  </si>
  <si>
    <t>4.1.1</t>
  </si>
  <si>
    <t>Мероприятия по землеустройству и землепользованию</t>
  </si>
  <si>
    <t>- межевание земельных участков по объектам; постановка земельных участков на кадастровый учет; осуществление юридически значимых действий по государственной регистрации права собственности и права хозяйственного ведения на объекты недвижимости, в том числе бесхозяйных объектов недвижимости</t>
  </si>
  <si>
    <t>4.1.2</t>
  </si>
  <si>
    <t>4.2</t>
  </si>
  <si>
    <t>Основное мероприятие:
Формирование и управление муниципальной собственностью</t>
  </si>
  <si>
    <t>4.2.1</t>
  </si>
  <si>
    <t>Организация содержания муниципального жилищного фонда</t>
  </si>
  <si>
    <t>4.2.2</t>
  </si>
  <si>
    <t>Мероприятия, направленные на содержание административных зданий и помещений</t>
  </si>
  <si>
    <t>Итого по Подпрограмме 4</t>
  </si>
  <si>
    <t>Итого</t>
  </si>
  <si>
    <r>
      <t>Отчет</t>
    </r>
    <r>
      <rPr>
        <b/>
        <vertAlign val="superscript"/>
        <sz val="13"/>
        <color theme="1"/>
        <rFont val="Times New Roman"/>
        <family val="1"/>
        <charset val="204"/>
      </rPr>
      <t xml:space="preserve"> </t>
    </r>
  </si>
  <si>
    <t>об исполнении мероприятий муниципальной программы</t>
  </si>
  <si>
    <t>МО "Городской округ "Город Нарьян-Мар"</t>
  </si>
  <si>
    <t>"Повышение эффективности реализации молодежной политики в МО "Городской округ "Город Нарьян-Мар"</t>
  </si>
  <si>
    <t>Ответственный исполнитель ________________________________________________</t>
  </si>
  <si>
    <t xml:space="preserve">Управление организационно-информационного обеспечения </t>
  </si>
  <si>
    <t>План</t>
  </si>
  <si>
    <t>Объем финансирования муниципальной программы, тыс руб.</t>
  </si>
  <si>
    <t>на</t>
  </si>
  <si>
    <t>Фактическое исполнение</t>
  </si>
  <si>
    <t>2019 год,</t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</si>
  <si>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</si>
  <si>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3</t>
    </r>
  </si>
  <si>
    <t>(гр.8 / гр.4 * 100%)</t>
  </si>
  <si>
    <t>(гр.12 / гр.4 * 100%)</t>
  </si>
  <si>
    <t>тыс. руб.</t>
  </si>
  <si>
    <t>1.1.2</t>
  </si>
  <si>
    <t>1.1.3</t>
  </si>
  <si>
    <t>1.1.4</t>
  </si>
  <si>
    <t>1.1.5</t>
  </si>
  <si>
    <t>3</t>
  </si>
  <si>
    <t>3.2.2</t>
  </si>
  <si>
    <t>"Поддержка отдельных категорий граждан муниципального образования "Городской округ "Город Нарьян-Мар</t>
  </si>
  <si>
    <t>1.1.6</t>
  </si>
  <si>
    <t xml:space="preserve">1.1.6 Единовременная выплата лицам, уволенным в запас после прохождения военной службы  по призыву в Вооруженных Силах Российской Федерации   </t>
  </si>
  <si>
    <t>1.1.7</t>
  </si>
  <si>
    <t xml:space="preserve">Подпрограмма 2 " Пенсионное обеспечение отдельных категорий граждан" </t>
  </si>
  <si>
    <t>1.1 Основное мероприятие: выплата пенсий за выслугу лет</t>
  </si>
  <si>
    <t>Благоустройство территории дома № 5 по улице им. В.И. Ленина</t>
  </si>
  <si>
    <t>Благоустройство территории сквера по ул. Выучейского</t>
  </si>
  <si>
    <t>План на 2019 год, тыс. руб</t>
  </si>
  <si>
    <t>Объем финансирования муниципальной программы, тыс. руб.</t>
  </si>
  <si>
    <t>% кассового исполнения за отчетный период (гр. 8/гр. 4*100%)</t>
  </si>
  <si>
    <t>% фактического исполнения за отчетный период (гр. 12/гр. 4*100%)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</si>
  <si>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</si>
  <si>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 домов, признанных в установленном порядке ветхими или аварийными и непригодными для проживания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</si>
  <si>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</si>
  <si>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Проектирование подключения многоквартирных домов № 1б по ул. Рыбников и № 19 по ул. Рабочей в г. Нарьян-Маре к централизованной системе водоотведения</t>
  </si>
  <si>
    <t>Страхование от несчастных случаев членов народной дружины МО "Городской округ "Город Нарьян-Мар", участвующим в охране общественного порядка</t>
  </si>
  <si>
    <t>Поставка специализированного прицепного устройства для обеспечения пожарной безопасности в муниципальных и населенных пунктах</t>
  </si>
  <si>
    <t>Поставка комплекта пневмодомкратов для проведения аварийно-спасательных работ</t>
  </si>
  <si>
    <t>Разработка ПСД на реконструкцию ул. Заводская в г. Нарьян-Маре</t>
  </si>
  <si>
    <t>Выполнение работ по устройству тротуаров в г. Нарьян-Мар по ул. Калмыкова</t>
  </si>
  <si>
    <t>Субсидии местным бюджетам на софинансирование капитальных вложений в объекты муниципальной собственности</t>
  </si>
  <si>
    <t>3.3.5.</t>
  </si>
  <si>
    <t>3.3.6.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</si>
  <si>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</t>
  </si>
  <si>
    <t>3.3.7.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</si>
  <si>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</si>
  <si>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</si>
  <si>
    <t>4.2.2.</t>
  </si>
  <si>
    <t>Проектирование работ в целях реализации регионального проекта Ненецкого автономного округа "Чистая вода"</t>
  </si>
  <si>
    <t>Проектирование работ по реконструкции участков наружного водопровода в г. Нарьян-Маре</t>
  </si>
  <si>
    <t>4.4.</t>
  </si>
  <si>
    <t>Основное мероприятие: Региональный проект Ненецкого автономного округа "Чистая вода"</t>
  </si>
  <si>
    <t>4.4.1.</t>
  </si>
  <si>
    <t>Строительство и реконструкция (модернизация) объектов питьевого водоснабжения</t>
  </si>
  <si>
    <t>Реконструкция водовода в г. Нарьян-Маре</t>
  </si>
  <si>
    <t>5.1.7.</t>
  </si>
  <si>
    <t>Подключение объектов городской инфраструктуры к сетям электроснабжения</t>
  </si>
  <si>
    <t>5.1.8.</t>
  </si>
  <si>
    <t xml:space="preserve">Субсидии муниципальным образованиям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</si>
  <si>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5.1.9.</t>
  </si>
  <si>
    <t>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</t>
  </si>
  <si>
    <t>Устройство тротуаров с автостоянкой между многоквартирным домом № 29 по ул. Ленина и школой № 1</t>
  </si>
  <si>
    <t>6.3.</t>
  </si>
  <si>
    <t>Основное мероприятие:  Создание  в муниципальном образовании "Городской округ "Город Нарьян-Мар" дополнительных условий для расселения граждан из жилых помещений в домах, признанных аварийными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</si>
  <si>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</si>
  <si>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благоустройство</t>
  </si>
  <si>
    <t>ртс</t>
  </si>
  <si>
    <t>местное самоупр</t>
  </si>
  <si>
    <t>комф жилье</t>
  </si>
  <si>
    <t>Начальник УЭиИР Администрации МО "Городской округ "Город Нарьян-Мар"</t>
  </si>
  <si>
    <t>Н.Л.Кислякова</t>
  </si>
  <si>
    <t>- изготовление светодиодных конструкций</t>
  </si>
  <si>
    <t>2.3</t>
  </si>
  <si>
    <t>2.3.1</t>
  </si>
  <si>
    <t>Расходы на обеспечение деятельности МКУ "Управление городского хозяйства г.Нарьян-Мара"</t>
  </si>
  <si>
    <t>2.3.1.</t>
  </si>
  <si>
    <t>Ответственный исполнитель: управление жилищно-коммунального хозяйства</t>
  </si>
  <si>
    <t xml:space="preserve">Благоустройство общественной территории  в районе строения № 6 по  ул. им. В.И.Ленина  в городе Нарьян-Маре </t>
  </si>
  <si>
    <t>1.4.2.</t>
  </si>
  <si>
    <t>1.4.3.</t>
  </si>
  <si>
    <t>Спортивная площадка в районе улицы Мурманская, 15</t>
  </si>
  <si>
    <t>Строительство канализационного коллектора от КГ1 до КНС в п. Новый г. Нарьян-Мара</t>
  </si>
  <si>
    <t xml:space="preserve">Проектирование подключения дома № 26 по ул. Пионерская в г. Нарьян-Маре к городским сетям канализационной сети </t>
  </si>
  <si>
    <t>Подключение дома № 26 по ул. Пионерская в г. Нарьян-Маре к городским сетям канализационной сети</t>
  </si>
  <si>
    <t xml:space="preserve">Проектирование подключения жилого дома № 2 по ул. Комсомольская к сетям центрального водоснабжения </t>
  </si>
  <si>
    <t>Подключение жилого дома № 2 по ул. Комсомольская к сетям центрального водоснабжения</t>
  </si>
  <si>
    <t>Проведение государственной экспертизы проектной документации на строительство канализационного коллектора от КГ1 до КНС в п. Новый г.Нарьян-Мара</t>
  </si>
  <si>
    <t>Проведение технологической экспертизы установленного оборудования объекта капитального строительства "Реконструкция II очереди канализационных очистных сооружений в г. Нарьян-Маре"</t>
  </si>
  <si>
    <t>Основное мероприятие:   Участие в организации деятельности по сбору (в том числе раздельному сбору), транспортиро-ванию, обработке, утилизации, обезвреживанию, захоронению твердых коммунальных отходов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</si>
  <si>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</si>
  <si>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</si>
  <si>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Разработка   проекта   и     установление    санитарно-защитной зоны открытой площадки с грунтовым покрытием объекта размещения отходов г. Нарьян-Мара</t>
  </si>
  <si>
    <t>Приобретение административно-бытового комплекса   для размещения персонала на открытой площадке с грунтовым покрытием объекта размещения отходов г. Нарьян-Мара</t>
  </si>
  <si>
    <t>Поставка мусоросортировочного комплекса</t>
  </si>
  <si>
    <t>Поставка   установки  термического обезвреживания отходов</t>
  </si>
  <si>
    <t xml:space="preserve">Приобретение гусеничного трактора </t>
  </si>
  <si>
    <t>Приобретение мини-погрузчиков</t>
  </si>
  <si>
    <t>Приобретение самосвала</t>
  </si>
  <si>
    <t>Приобретение погрузчика фронтального</t>
  </si>
  <si>
    <t>Поставка автомобильных весов (40т)</t>
  </si>
  <si>
    <t>Поставка автомобильных весов (30т)</t>
  </si>
  <si>
    <t>Поставка шредера двухвального</t>
  </si>
  <si>
    <t xml:space="preserve">Создание муниципальной системы оповещения населения об опасностях и чрезвычайных ситуациях </t>
  </si>
  <si>
    <t>Поставка быстровозводимого пневмокаркасного модуля (палатки) с системой жизнеобеспечения</t>
  </si>
  <si>
    <t>Приобретение и установка, техническое обслуживание и сопровождение системы автоматизации ГЛОНАС</t>
  </si>
  <si>
    <t>Приобретение дополнительного оборудования для МКМ 1904</t>
  </si>
  <si>
    <t>Приобретение автотранспортной техники ПУМ-4853 на базе трактора Беларус 82.1 с щеточным оборудованием</t>
  </si>
  <si>
    <t>Реконструкция ул. Полярная в г. Нарьян-Маре</t>
  </si>
  <si>
    <t xml:space="preserve">Субсидии местным бюджетам на софинансирование расходных обязательств по осуществлению дорожной деятельности </t>
  </si>
  <si>
    <t xml:space="preserve">Софинансирование расходных обязательств по осуществлению дорожной деятельности </t>
  </si>
  <si>
    <t>Ремонт автомобильных дорог общего пользования местного значения по ул. Мира, Торговый проезд, пер. М. Баева (закупка строительных материалов)</t>
  </si>
  <si>
    <t>Внедрение системы автоматизированного управления наружным освещением на автомобильных дорогах</t>
  </si>
  <si>
    <t>Капитальный ремонт сетей ТС, ГВС, ХВС  от ТК 14/51 до ТК14/79 (от ж.д. 4 до ж.д. 10 по 2-му переулку)</t>
  </si>
  <si>
    <t>Капитальный ремонт сети ГВС от ТК11/2 до ТК11/2А по ул. Хатанзейского</t>
  </si>
  <si>
    <t>Капитальный ремонт сети ТС от здания РКЦ до здания школы-интернат (ТК7/22А до ТК7/21А)</t>
  </si>
  <si>
    <t>Приобретение  насосных станций для илового рецикла городских КОС</t>
  </si>
  <si>
    <t>Капитальный ремонт КНС-6 по ул. Швецова</t>
  </si>
  <si>
    <t>Капитальный ремонт транзитного водопровода в подвальном помещении ж.д. Ленина, 29Б</t>
  </si>
  <si>
    <t>Приобретение электромагнитных счетчиков для выполнения капитального ремонта артезианских скважин водозабора Озерный</t>
  </si>
  <si>
    <t>Приобретение газовых горелок для котельной № 15</t>
  </si>
  <si>
    <t>Приобретение резервуаров очищенной воды для котельных № 7, 14, 12 (75 м.куб - 3, 35 м.куб - 1)</t>
  </si>
  <si>
    <t xml:space="preserve">Капитальный ремонт котла № 1 и № 2 котельной №4 </t>
  </si>
  <si>
    <t>Приобретение насоса для второго контура системы отопления котельной № 5</t>
  </si>
  <si>
    <t>Приобретение насоса подпитки для системы отопления и ГВС котельной № 13</t>
  </si>
  <si>
    <t>Приобретение насоса системы ХВС котельной № 13</t>
  </si>
  <si>
    <t>Приобретение насоса для циркуляционного контура системы ГВС котельной № 4</t>
  </si>
  <si>
    <t>Приобретение насосов для циркуляционного контура системы ГВС котельной № 9</t>
  </si>
  <si>
    <t>Приобретение оборудования для производства рукавов высокого давления</t>
  </si>
  <si>
    <t>Устройство покрытия из брусчатки в районе дома № 44 по ул. Ленина</t>
  </si>
  <si>
    <t>Обустройство территории между домами № 19 и № 21 по ул. Ленина</t>
  </si>
  <si>
    <t>Устройство парковочной площадки, лестничного схода и пандуса в районе дома № 32 по ул. Октябрьская</t>
  </si>
  <si>
    <t>Устройство площадок для выгула собак в городе Нарьян-Маре</t>
  </si>
  <si>
    <t>за 2019 год</t>
  </si>
  <si>
    <t>План на отчетный период</t>
  </si>
  <si>
    <t>% кассового исполнения за отчетный период
(гр.8 / гр.4 х 100%)</t>
  </si>
  <si>
    <t>% фактического исполнения за отчетный период
(гр.12 / гр.4 х 100%)</t>
  </si>
  <si>
    <t>Финансовое обеспечение проведения юбилейных, праздничных и иных мероприятий</t>
  </si>
  <si>
    <t>- приобретение сувенирной и полиграфической продукции</t>
  </si>
  <si>
    <t>- изготовление раздаточного материала (буклеты, журналы, альманахи), подготовка к конференциям</t>
  </si>
  <si>
    <t>Материально-техническое обеспечение органов местного самоуправления</t>
  </si>
  <si>
    <t>Основное мероприятие:
Обеспечение деятельности подведомственных казенных учреждений МО "Городской округ "Город Нарьян-Мар"</t>
  </si>
  <si>
    <t>2.4</t>
  </si>
  <si>
    <t>Основное мероприятие:
Мероприятия в сфере информатизации</t>
  </si>
  <si>
    <t>2.4.1.</t>
  </si>
  <si>
    <t>Внедрение и сопровождение информационных систем и программного обеспечения</t>
  </si>
  <si>
    <t>Оценка недвижимости, признание прав и регулирование отношений по государственной и муниципальной собственности</t>
  </si>
  <si>
    <t>- содержание административных зданий и помещений</t>
  </si>
  <si>
    <t>- выполнение ремонтных работ капитального характера в здании по ул.Ленина, дом 1</t>
  </si>
  <si>
    <t>- разработка проекта по реконструкции административного здания по адресу: г.Нарьян-Мар, ул.Смидовича, д.32</t>
  </si>
  <si>
    <t>за 2019 года</t>
  </si>
  <si>
    <t>- субсидия на возмещение части затрат по приобретению и доставке имущества, необходимого для осуществления предпринимательской деятельности</t>
  </si>
  <si>
    <t xml:space="preserve">- субсидия на возмещение части затрат по аренде нежилых зданий и помещений за исключением зданий, помещений, включенных в перечень государственного и муниципального имущества, предусмотренный частью 4 статьи 18 Федерального закона "О развитии малого и среднего предпринимательства в Российской Федерации" и предоставленных по льготным ставкам арендной платы
</t>
  </si>
  <si>
    <t>-  проведение конкурса швейного мастерства</t>
  </si>
  <si>
    <t>Подпрограмма 1 "Развитие предпринимательства и торговли в муниципальном образовании "Городской округ "Город Нарьян-Мар"</t>
  </si>
  <si>
    <t>Предоставление на конкурсной основе грантов в форме субсидий на реализацию социально значимыз проектов социально ориентированных некоммерческих организаций</t>
  </si>
  <si>
    <t xml:space="preserve">Предоставление территориальным общественным самоуправлениям на конкурсной основе грантов в форме субсидий на реализацию социально значимых проектов, направленных на развитие территориального общественного самоуправления
</t>
  </si>
  <si>
    <t xml:space="preserve">Предоставление выплаты председателям территориальных общественных самоуправлений в муниципальном образовании "Городской округ "Город Нарьян-Мар"
</t>
  </si>
  <si>
    <t xml:space="preserve">Предоставление грантов в форме субсидий на организацию деятельности территориальных общественных самоуправлений
</t>
  </si>
  <si>
    <t xml:space="preserve">Предоставление грантов в форме субсидий на организацию и проведение конкурса "Лучшее территориальное общественное самоуправление города Нарьян-Мара"
</t>
  </si>
  <si>
    <t xml:space="preserve">План на отчетный период </t>
  </si>
  <si>
    <t xml:space="preserve">за 2019 год </t>
  </si>
  <si>
    <t xml:space="preserve">План на отчетный период  </t>
  </si>
  <si>
    <t>за   2019 год</t>
  </si>
  <si>
    <t xml:space="preserve">за   2019 год </t>
  </si>
  <si>
    <t>Устройство площадки на полигоне ТКО</t>
  </si>
  <si>
    <t>Выполнение работ по монтажу ВЛИ-0,4 кВ в районе объекта размещения отходов г. Нарьян-Мара</t>
  </si>
  <si>
    <t>Выполнение работ по устройству уличного освещения объекта размещения отходов г. Нарьян-Мара</t>
  </si>
  <si>
    <t>Выполнение работ по замене трансформатора на объекте размещения отходов г. Нарьян-Мара</t>
  </si>
  <si>
    <t>Монтаж ВРУ (вводно-распределительного устройства) на ТП (трансформаторной подстанции) в районе объекта размещения отходов г. Нарьян-Мара</t>
  </si>
  <si>
    <t>Монтаж распределительного шкафа на объекте размещения отходов г. Нарьян-Мара</t>
  </si>
  <si>
    <t>1.5.</t>
  </si>
  <si>
    <t>Основное мероприятие "Мероприятия по восстановлению платежеспособности муниципальных унитарных предприятий муниципального образования "Городской округ "Город Нарьян-Мар"</t>
  </si>
  <si>
    <t>1.5.1.</t>
  </si>
  <si>
    <t>Субсидии муниципальным унитарным предприятиям для финансового обеспечения затрат, связанных с деятельностью предприятия, в целях восстановления их платежеспособности</t>
  </si>
  <si>
    <t>Субсидия муниципальному унитарному предприятию "Комбинат по благоустройству и бытовому обслуживанию" для финансового обеспечения затрат, связанных с деятельностью предприятия, в целях восстановления его платежеспособности</t>
  </si>
  <si>
    <t>Аттестационный контроль режимно-секретного подразделения Администрации МО "Городской округ "Город Нарьян-Мар"</t>
  </si>
  <si>
    <t xml:space="preserve">Разработка схемы планировочного решения участка дороги по ул.Мира в г.Нарьян-Маре
</t>
  </si>
  <si>
    <t>Региональный проект Ненецкого автономного округа "Дорожная сеть"</t>
  </si>
  <si>
    <t>3.4.1.</t>
  </si>
  <si>
    <t>3.4.2.</t>
  </si>
  <si>
    <t>Софинансирование капитальных вложений в объекты муниципальной собственности</t>
  </si>
  <si>
    <t>Реконструкция ул. Авиаторов в г. Нарьян-Маре (1 этап)</t>
  </si>
  <si>
    <t xml:space="preserve">Реконструкция ул. Полярная в г. Нарьян-Маре </t>
  </si>
  <si>
    <t>Приобретение аэрационного оборудования с шеф-монтажом для замены системы аэрации городских КОС</t>
  </si>
  <si>
    <t>Приобретение насоса для первого контура системы отопления котельной № 1</t>
  </si>
  <si>
    <t>Приобретение насосов для сетевого контура системы отопления котельной № 13</t>
  </si>
  <si>
    <t xml:space="preserve">Приобретение гидроаккумуляторов и мембран для гидроаккумулятора для систем теплоснабжения котельных №3, №5, №11, №17 </t>
  </si>
  <si>
    <t>Капитальный  ремонт сети ГВС от ТК 14/39 до ТК 14/44 в районе ж.д. № 6 по ул.Титова</t>
  </si>
  <si>
    <t>Капитальный ремонт сетей ТС, ГВС, ХВС от ТК 2/10 до ТК 2/11А в р-не ж.д. 41 А по ул. Южная, ж.д. 25 по ул. Пионерская.</t>
  </si>
  <si>
    <t>Капитальный ремонт участка сети канализации от КК-3 до КК-35 с демонтажем септика в районе ж.д. №2 по пер. Ольховый</t>
  </si>
  <si>
    <t>Капитальный ремонт транзитного водопровода в подвальном помещении ж.д. №38 по ул. Ленина.</t>
  </si>
  <si>
    <t>Капитальный ремонт сетей ТС, ХВС, ГВС от ТК 14/44 «А» до здания по адресу Титова, 10</t>
  </si>
  <si>
    <t>Капитальный ремонт сетей ТС, ГВС, ХВС от ТК 2-39 до ТК 2-40А в р-не дома № 26 А по ул. Октябрьская</t>
  </si>
  <si>
    <t>Капитальный ремонт ПК - 11 в районе ж.д.№ 55 по ул.Ленина</t>
  </si>
  <si>
    <t>Капитальный ремонт канализационного колодца КК № 8 наружной канализации на перекрестке ул. Оленная и Ненецкая</t>
  </si>
  <si>
    <t>Приобретение отопительного котла № 3 и сопутствующего оборудования для выполнения капитального ремонта котельной № 9</t>
  </si>
  <si>
    <t>Приобретение газового оборудования для котла №3 для выполнения капитального ремонта котельной № 9</t>
  </si>
  <si>
    <t>Приобретение теплообменников пластинчатых разборных GXD-051-H-5-PR-179 для выполнения капитального ремонта котельной № 5.</t>
  </si>
  <si>
    <t>Приобретение разборных теплообменных аппаратов S 100 для выполнения капитального ремонта котельной № 14.</t>
  </si>
  <si>
    <t>Приобретение шкафов управления мешалок FLYGT SR 4630.412, 1.5 кВт для выполнения капитального ремонта КОС.</t>
  </si>
  <si>
    <t>Приобретение газового оборудования для выполнения капитального ремонта котельной № 14</t>
  </si>
  <si>
    <t>Приобретение электромагнитных счетчиков-расходомеров для выполнения капитального ремонта системы учета водоразборных колонок</t>
  </si>
  <si>
    <t>Приобретение клапана Иртыш КСВ Ду 200 РУ 10 для выполнения ремонта КНС-3</t>
  </si>
  <si>
    <t>5.1.10.</t>
  </si>
  <si>
    <t>Реализация мероприятий по благоустройству территории муниципального образования</t>
  </si>
  <si>
    <t>Оплата труда работников, принятых на временные работы</t>
  </si>
  <si>
    <t>Приобретение комбинированного станка по дереву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</si>
</sst>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3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7" fillId="0" borderId="0"/>
  </cellStyleXfs>
  <cellXfs count="324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top"/>
    </xf>
    <xf numFmtId="165" fontId="1" fillId="0" borderId="1" xfId="1" applyNumberFormat="1" applyFont="1" applyFill="1" applyBorder="1" applyAlignment="1">
      <alignment horizontal="right" vertical="top"/>
    </xf>
    <xf numFmtId="165" fontId="3" fillId="3" borderId="1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 indent="1"/>
    </xf>
    <xf numFmtId="0" fontId="1" fillId="0" borderId="2" xfId="2" applyFont="1" applyBorder="1" applyAlignment="1">
      <alignment horizontal="left" vertical="top" wrapText="1" indent="1"/>
    </xf>
    <xf numFmtId="0" fontId="1" fillId="0" borderId="6" xfId="2" applyFont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left" wrapText="1" indent="1"/>
    </xf>
    <xf numFmtId="0" fontId="1" fillId="0" borderId="1" xfId="2" applyFont="1" applyBorder="1" applyAlignment="1">
      <alignment horizontal="left" vertical="top" wrapText="1" indent="1"/>
    </xf>
    <xf numFmtId="3" fontId="3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8" fillId="0" borderId="0" xfId="3" applyFont="1"/>
    <xf numFmtId="0" fontId="8" fillId="0" borderId="0" xfId="3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Alignment="1">
      <alignment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8" fillId="0" borderId="5" xfId="3" applyFont="1" applyBorder="1"/>
    <xf numFmtId="0" fontId="8" fillId="0" borderId="1" xfId="3" applyFont="1" applyBorder="1"/>
    <xf numFmtId="0" fontId="8" fillId="6" borderId="1" xfId="3" applyFont="1" applyFill="1" applyBorder="1" applyAlignment="1">
      <alignment horizontal="center" vertical="center"/>
    </xf>
    <xf numFmtId="0" fontId="8" fillId="5" borderId="13" xfId="3" applyFont="1" applyFill="1" applyBorder="1"/>
    <xf numFmtId="0" fontId="8" fillId="5" borderId="6" xfId="3" applyFont="1" applyFill="1" applyBorder="1"/>
    <xf numFmtId="49" fontId="14" fillId="5" borderId="1" xfId="3" applyNumberFormat="1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wrapText="1"/>
    </xf>
    <xf numFmtId="10" fontId="14" fillId="5" borderId="1" xfId="3" applyNumberFormat="1" applyFont="1" applyFill="1" applyBorder="1" applyAlignment="1">
      <alignment horizontal="center"/>
    </xf>
    <xf numFmtId="49" fontId="8" fillId="5" borderId="1" xfId="3" applyNumberFormat="1" applyFont="1" applyFill="1" applyBorder="1" applyAlignment="1">
      <alignment horizontal="center" vertical="center"/>
    </xf>
    <xf numFmtId="49" fontId="13" fillId="5" borderId="1" xfId="3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3" fillId="0" borderId="1" xfId="3" applyNumberFormat="1" applyFont="1" applyFill="1" applyBorder="1"/>
    <xf numFmtId="10" fontId="13" fillId="5" borderId="1" xfId="3" applyNumberFormat="1" applyFont="1" applyFill="1" applyBorder="1" applyAlignment="1">
      <alignment horizontal="center"/>
    </xf>
    <xf numFmtId="10" fontId="13" fillId="5" borderId="1" xfId="3" applyNumberFormat="1" applyFont="1" applyFill="1" applyBorder="1"/>
    <xf numFmtId="4" fontId="13" fillId="0" borderId="1" xfId="3" applyNumberFormat="1" applyFont="1" applyFill="1" applyBorder="1" applyAlignment="1">
      <alignment horizontal="right"/>
    </xf>
    <xf numFmtId="4" fontId="13" fillId="5" borderId="1" xfId="3" applyNumberFormat="1" applyFont="1" applyFill="1" applyBorder="1" applyAlignment="1">
      <alignment horizontal="center"/>
    </xf>
    <xf numFmtId="4" fontId="13" fillId="5" borderId="1" xfId="3" applyNumberFormat="1" applyFont="1" applyFill="1" applyBorder="1"/>
    <xf numFmtId="49" fontId="13" fillId="5" borderId="1" xfId="3" applyNumberFormat="1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vertical="center" wrapText="1"/>
    </xf>
    <xf numFmtId="0" fontId="13" fillId="5" borderId="1" xfId="3" applyNumberFormat="1" applyFont="1" applyFill="1" applyBorder="1" applyAlignment="1">
      <alignment vertical="center" wrapText="1"/>
    </xf>
    <xf numFmtId="49" fontId="5" fillId="5" borderId="1" xfId="3" applyNumberFormat="1" applyFont="1" applyFill="1" applyBorder="1" applyAlignment="1">
      <alignment horizontal="center" vertical="center"/>
    </xf>
    <xf numFmtId="49" fontId="14" fillId="5" borderId="1" xfId="3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wrapText="1"/>
    </xf>
    <xf numFmtId="0" fontId="5" fillId="5" borderId="13" xfId="3" applyFont="1" applyFill="1" applyBorder="1"/>
    <xf numFmtId="0" fontId="5" fillId="5" borderId="6" xfId="3" applyFont="1" applyFill="1" applyBorder="1"/>
    <xf numFmtId="0" fontId="15" fillId="6" borderId="1" xfId="3" applyFont="1" applyFill="1" applyBorder="1" applyAlignment="1">
      <alignment horizontal="center" vertical="center"/>
    </xf>
    <xf numFmtId="0" fontId="14" fillId="6" borderId="1" xfId="3" applyFont="1" applyFill="1" applyBorder="1" applyAlignment="1">
      <alignment horizontal="center" vertical="center" wrapText="1"/>
    </xf>
    <xf numFmtId="4" fontId="14" fillId="6" borderId="1" xfId="3" applyNumberFormat="1" applyFont="1" applyFill="1" applyBorder="1" applyAlignment="1">
      <alignment vertical="center" wrapText="1"/>
    </xf>
    <xf numFmtId="10" fontId="14" fillId="6" borderId="1" xfId="3" applyNumberFormat="1" applyFont="1" applyFill="1" applyBorder="1" applyAlignment="1">
      <alignment vertical="center" wrapText="1"/>
    </xf>
    <xf numFmtId="0" fontId="14" fillId="0" borderId="5" xfId="3" applyFont="1" applyBorder="1"/>
    <xf numFmtId="0" fontId="14" fillId="0" borderId="1" xfId="3" applyFont="1" applyBorder="1"/>
    <xf numFmtId="0" fontId="8" fillId="7" borderId="0" xfId="3" applyFont="1" applyFill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Border="1"/>
    <xf numFmtId="4" fontId="8" fillId="0" borderId="0" xfId="3" applyNumberFormat="1" applyFont="1"/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0" fontId="10" fillId="0" borderId="0" xfId="0" applyFont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wrapText="1"/>
    </xf>
    <xf numFmtId="165" fontId="14" fillId="5" borderId="1" xfId="3" applyNumberFormat="1" applyFont="1" applyFill="1" applyBorder="1" applyAlignment="1">
      <alignment horizontal="center"/>
    </xf>
    <xf numFmtId="165" fontId="5" fillId="5" borderId="1" xfId="3" applyNumberFormat="1" applyFont="1" applyFill="1" applyBorder="1"/>
    <xf numFmtId="164" fontId="13" fillId="0" borderId="1" xfId="0" applyNumberFormat="1" applyFont="1" applyFill="1" applyBorder="1" applyAlignment="1">
      <alignment horizontal="center" wrapText="1"/>
    </xf>
    <xf numFmtId="165" fontId="13" fillId="5" borderId="1" xfId="3" applyNumberFormat="1" applyFont="1" applyFill="1" applyBorder="1" applyAlignment="1">
      <alignment horizontal="center"/>
    </xf>
    <xf numFmtId="165" fontId="8" fillId="5" borderId="1" xfId="3" applyNumberFormat="1" applyFont="1" applyFill="1" applyBorder="1"/>
    <xf numFmtId="164" fontId="14" fillId="0" borderId="1" xfId="0" applyNumberFormat="1" applyFont="1" applyFill="1" applyBorder="1" applyAlignment="1">
      <alignment horizontal="right" wrapText="1"/>
    </xf>
    <xf numFmtId="164" fontId="14" fillId="0" borderId="1" xfId="3" applyNumberFormat="1" applyFont="1" applyFill="1" applyBorder="1"/>
    <xf numFmtId="164" fontId="14" fillId="0" borderId="1" xfId="3" applyNumberFormat="1" applyFont="1" applyFill="1" applyBorder="1" applyAlignment="1">
      <alignment horizontal="right"/>
    </xf>
    <xf numFmtId="164" fontId="14" fillId="5" borderId="1" xfId="3" applyNumberFormat="1" applyFont="1" applyFill="1" applyBorder="1" applyAlignment="1">
      <alignment horizontal="center"/>
    </xf>
    <xf numFmtId="164" fontId="14" fillId="5" borderId="1" xfId="3" applyNumberFormat="1" applyFont="1" applyFill="1" applyBorder="1"/>
    <xf numFmtId="164" fontId="13" fillId="0" borderId="1" xfId="0" applyNumberFormat="1" applyFont="1" applyFill="1" applyBorder="1" applyAlignment="1">
      <alignment horizontal="right" wrapText="1"/>
    </xf>
    <xf numFmtId="164" fontId="13" fillId="0" borderId="1" xfId="3" applyNumberFormat="1" applyFont="1" applyFill="1" applyBorder="1"/>
    <xf numFmtId="164" fontId="13" fillId="0" borderId="1" xfId="3" applyNumberFormat="1" applyFont="1" applyFill="1" applyBorder="1" applyAlignment="1">
      <alignment horizontal="right"/>
    </xf>
    <xf numFmtId="164" fontId="13" fillId="5" borderId="1" xfId="3" applyNumberFormat="1" applyFont="1" applyFill="1" applyBorder="1" applyAlignment="1">
      <alignment horizontal="center"/>
    </xf>
    <xf numFmtId="164" fontId="13" fillId="5" borderId="1" xfId="3" applyNumberFormat="1" applyFont="1" applyFill="1" applyBorder="1"/>
    <xf numFmtId="49" fontId="13" fillId="0" borderId="1" xfId="3" applyNumberFormat="1" applyFont="1" applyFill="1" applyBorder="1" applyAlignment="1">
      <alignment vertical="center" wrapText="1"/>
    </xf>
    <xf numFmtId="49" fontId="14" fillId="0" borderId="1" xfId="3" applyNumberFormat="1" applyFont="1" applyFill="1" applyBorder="1" applyAlignment="1">
      <alignment vertical="center" wrapText="1"/>
    </xf>
    <xf numFmtId="0" fontId="14" fillId="5" borderId="1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164" fontId="14" fillId="5" borderId="1" xfId="3" applyNumberFormat="1" applyFont="1" applyFill="1" applyBorder="1" applyAlignment="1">
      <alignment vertical="center" wrapText="1"/>
    </xf>
    <xf numFmtId="165" fontId="14" fillId="5" borderId="1" xfId="3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center" wrapText="1"/>
    </xf>
    <xf numFmtId="164" fontId="14" fillId="0" borderId="1" xfId="3" applyNumberFormat="1" applyFont="1" applyFill="1" applyBorder="1" applyAlignment="1">
      <alignment horizontal="center" wrapText="1"/>
    </xf>
    <xf numFmtId="165" fontId="14" fillId="5" borderId="1" xfId="3" applyNumberFormat="1" applyFont="1" applyFill="1" applyBorder="1" applyAlignment="1">
      <alignment horizontal="center" vertical="center"/>
    </xf>
    <xf numFmtId="165" fontId="5" fillId="5" borderId="1" xfId="3" applyNumberFormat="1" applyFont="1" applyFill="1" applyBorder="1" applyAlignment="1">
      <alignment vertical="center"/>
    </xf>
    <xf numFmtId="0" fontId="14" fillId="6" borderId="1" xfId="3" applyFont="1" applyFill="1" applyBorder="1" applyAlignment="1">
      <alignment horizontal="center" vertical="center"/>
    </xf>
    <xf numFmtId="164" fontId="14" fillId="6" borderId="1" xfId="3" applyNumberFormat="1" applyFont="1" applyFill="1" applyBorder="1" applyAlignment="1">
      <alignment vertical="center" wrapText="1"/>
    </xf>
    <xf numFmtId="165" fontId="14" fillId="6" borderId="1" xfId="3" applyNumberFormat="1" applyFont="1" applyFill="1" applyBorder="1" applyAlignment="1">
      <alignment vertical="center" wrapText="1"/>
    </xf>
    <xf numFmtId="165" fontId="14" fillId="5" borderId="1" xfId="3" applyNumberFormat="1" applyFont="1" applyFill="1" applyBorder="1"/>
    <xf numFmtId="165" fontId="13" fillId="0" borderId="1" xfId="0" applyNumberFormat="1" applyFont="1" applyFill="1" applyBorder="1" applyAlignment="1">
      <alignment horizontal="right" wrapText="1"/>
    </xf>
    <xf numFmtId="164" fontId="14" fillId="0" borderId="1" xfId="3" applyNumberFormat="1" applyFont="1" applyFill="1" applyBorder="1" applyAlignment="1">
      <alignment horizontal="center"/>
    </xf>
    <xf numFmtId="165" fontId="13" fillId="5" borderId="1" xfId="3" applyNumberFormat="1" applyFont="1" applyFill="1" applyBorder="1"/>
    <xf numFmtId="164" fontId="13" fillId="0" borderId="1" xfId="3" applyNumberFormat="1" applyFont="1" applyFill="1" applyBorder="1" applyAlignment="1">
      <alignment wrapText="1"/>
    </xf>
    <xf numFmtId="164" fontId="14" fillId="0" borderId="1" xfId="3" applyNumberFormat="1" applyFont="1" applyFill="1" applyBorder="1" applyAlignment="1">
      <alignment wrapText="1"/>
    </xf>
    <xf numFmtId="164" fontId="14" fillId="5" borderId="1" xfId="3" applyNumberFormat="1" applyFont="1" applyFill="1" applyBorder="1" applyAlignment="1">
      <alignment horizontal="center" vertical="center" wrapText="1"/>
    </xf>
    <xf numFmtId="164" fontId="13" fillId="5" borderId="1" xfId="3" applyNumberFormat="1" applyFont="1" applyFill="1" applyBorder="1" applyAlignment="1">
      <alignment horizontal="center" vertical="center" wrapText="1"/>
    </xf>
    <xf numFmtId="165" fontId="14" fillId="5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/>
    </xf>
    <xf numFmtId="0" fontId="14" fillId="5" borderId="1" xfId="3" applyFont="1" applyFill="1" applyBorder="1" applyAlignment="1">
      <alignment horizontal="left" vertical="center" wrapText="1"/>
    </xf>
    <xf numFmtId="0" fontId="13" fillId="5" borderId="1" xfId="3" applyFont="1" applyFill="1" applyBorder="1" applyAlignment="1">
      <alignment horizontal="left" vertical="center" wrapText="1"/>
    </xf>
    <xf numFmtId="9" fontId="1" fillId="0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top"/>
    </xf>
    <xf numFmtId="49" fontId="1" fillId="10" borderId="1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right" vertical="top"/>
    </xf>
    <xf numFmtId="165" fontId="1" fillId="10" borderId="1" xfId="1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/>
    <xf numFmtId="164" fontId="1" fillId="1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/>
    <xf numFmtId="0" fontId="12" fillId="0" borderId="12" xfId="0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22" fillId="0" borderId="0" xfId="0" applyFont="1"/>
    <xf numFmtId="0" fontId="19" fillId="0" borderId="0" xfId="0" applyFont="1" applyAlignment="1"/>
    <xf numFmtId="0" fontId="2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49" fontId="21" fillId="0" borderId="3" xfId="0" applyNumberFormat="1" applyFont="1" applyBorder="1" applyAlignment="1">
      <alignment vertical="top"/>
    </xf>
    <xf numFmtId="0" fontId="18" fillId="11" borderId="1" xfId="0" applyFont="1" applyFill="1" applyBorder="1" applyAlignment="1">
      <alignment vertical="top" wrapText="1"/>
    </xf>
    <xf numFmtId="2" fontId="28" fillId="11" borderId="5" xfId="0" applyNumberFormat="1" applyFont="1" applyFill="1" applyBorder="1" applyAlignment="1">
      <alignment horizontal="right" vertical="top"/>
    </xf>
    <xf numFmtId="0" fontId="28" fillId="11" borderId="1" xfId="0" applyFont="1" applyFill="1" applyBorder="1" applyAlignment="1">
      <alignment horizontal="right" vertical="top"/>
    </xf>
    <xf numFmtId="2" fontId="28" fillId="11" borderId="1" xfId="0" applyNumberFormat="1" applyFont="1" applyFill="1" applyBorder="1" applyAlignment="1">
      <alignment horizontal="right" vertical="top"/>
    </xf>
    <xf numFmtId="0" fontId="23" fillId="8" borderId="1" xfId="0" applyFont="1" applyFill="1" applyBorder="1" applyAlignment="1">
      <alignment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/>
    </xf>
    <xf numFmtId="2" fontId="21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0" fillId="0" borderId="5" xfId="0" applyBorder="1"/>
    <xf numFmtId="0" fontId="0" fillId="0" borderId="1" xfId="0" applyBorder="1"/>
    <xf numFmtId="2" fontId="0" fillId="0" borderId="1" xfId="0" applyNumberFormat="1" applyBorder="1"/>
    <xf numFmtId="0" fontId="23" fillId="0" borderId="1" xfId="0" applyFont="1" applyBorder="1" applyAlignment="1">
      <alignment vertical="top" wrapText="1"/>
    </xf>
    <xf numFmtId="49" fontId="28" fillId="0" borderId="3" xfId="0" applyNumberFormat="1" applyFont="1" applyBorder="1" applyAlignment="1">
      <alignment vertical="top"/>
    </xf>
    <xf numFmtId="0" fontId="25" fillId="11" borderId="5" xfId="0" applyFont="1" applyFill="1" applyBorder="1"/>
    <xf numFmtId="0" fontId="25" fillId="11" borderId="1" xfId="0" applyFont="1" applyFill="1" applyBorder="1"/>
    <xf numFmtId="0" fontId="25" fillId="0" borderId="0" xfId="0" applyFont="1"/>
    <xf numFmtId="0" fontId="0" fillId="0" borderId="3" xfId="0" applyBorder="1"/>
    <xf numFmtId="2" fontId="28" fillId="11" borderId="10" xfId="0" applyNumberFormat="1" applyFont="1" applyFill="1" applyBorder="1" applyAlignment="1">
      <alignment horizontal="right" vertical="top"/>
    </xf>
    <xf numFmtId="0" fontId="12" fillId="8" borderId="3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justify" vertical="top" wrapText="1"/>
    </xf>
    <xf numFmtId="0" fontId="20" fillId="8" borderId="1" xfId="0" applyFont="1" applyFill="1" applyBorder="1" applyAlignment="1">
      <alignment horizontal="righ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5" fillId="11" borderId="13" xfId="0" applyFont="1" applyFill="1" applyBorder="1"/>
    <xf numFmtId="4" fontId="20" fillId="8" borderId="14" xfId="0" applyNumberFormat="1" applyFont="1" applyFill="1" applyBorder="1" applyAlignment="1">
      <alignment horizontal="right" vertical="top" wrapText="1"/>
    </xf>
    <xf numFmtId="4" fontId="0" fillId="0" borderId="5" xfId="0" applyNumberFormat="1" applyBorder="1"/>
    <xf numFmtId="0" fontId="12" fillId="0" borderId="1" xfId="0" applyFont="1" applyBorder="1" applyAlignment="1">
      <alignment horizontal="justify" vertical="top" wrapText="1"/>
    </xf>
    <xf numFmtId="4" fontId="20" fillId="0" borderId="15" xfId="0" applyNumberFormat="1" applyFont="1" applyBorder="1" applyAlignment="1">
      <alignment horizontal="right" vertical="top" wrapText="1"/>
    </xf>
    <xf numFmtId="0" fontId="12" fillId="0" borderId="12" xfId="0" applyFont="1" applyBorder="1"/>
    <xf numFmtId="0" fontId="12" fillId="0" borderId="0" xfId="0" applyFont="1" applyBorder="1" applyAlignment="1">
      <alignment horizontal="center"/>
    </xf>
    <xf numFmtId="0" fontId="13" fillId="5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wrapText="1"/>
    </xf>
    <xf numFmtId="165" fontId="14" fillId="5" borderId="1" xfId="3" applyNumberFormat="1" applyFont="1" applyFill="1" applyBorder="1" applyAlignment="1">
      <alignment horizontal="right"/>
    </xf>
    <xf numFmtId="164" fontId="13" fillId="0" borderId="1" xfId="3" applyNumberFormat="1" applyFont="1" applyFill="1" applyBorder="1" applyAlignment="1"/>
    <xf numFmtId="165" fontId="13" fillId="5" borderId="1" xfId="3" applyNumberFormat="1" applyFont="1" applyFill="1" applyBorder="1" applyAlignment="1">
      <alignment horizontal="right"/>
    </xf>
    <xf numFmtId="164" fontId="13" fillId="5" borderId="1" xfId="3" applyNumberFormat="1" applyFont="1" applyFill="1" applyBorder="1" applyAlignment="1"/>
    <xf numFmtId="4" fontId="30" fillId="0" borderId="0" xfId="0" applyNumberFormat="1" applyFont="1"/>
    <xf numFmtId="165" fontId="13" fillId="5" borderId="1" xfId="3" applyNumberFormat="1" applyFont="1" applyFill="1" applyBorder="1" applyAlignment="1">
      <alignment wrapText="1"/>
    </xf>
    <xf numFmtId="165" fontId="1" fillId="2" borderId="1" xfId="1" applyNumberFormat="1" applyFont="1" applyFill="1" applyBorder="1" applyAlignment="1">
      <alignment horizontal="right" vertical="top"/>
    </xf>
    <xf numFmtId="49" fontId="1" fillId="10" borderId="2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/>
    <xf numFmtId="49" fontId="21" fillId="12" borderId="3" xfId="0" applyNumberFormat="1" applyFont="1" applyFill="1" applyBorder="1" applyAlignment="1">
      <alignment vertical="top"/>
    </xf>
    <xf numFmtId="0" fontId="12" fillId="12" borderId="1" xfId="0" applyFont="1" applyFill="1" applyBorder="1" applyAlignment="1">
      <alignment vertical="top" wrapText="1"/>
    </xf>
    <xf numFmtId="0" fontId="0" fillId="12" borderId="5" xfId="0" applyFill="1" applyBorder="1"/>
    <xf numFmtId="0" fontId="0" fillId="12" borderId="1" xfId="0" applyFill="1" applyBorder="1"/>
    <xf numFmtId="2" fontId="21" fillId="12" borderId="1" xfId="0" applyNumberFormat="1" applyFont="1" applyFill="1" applyBorder="1" applyAlignment="1">
      <alignment horizontal="right" vertical="top"/>
    </xf>
    <xf numFmtId="165" fontId="14" fillId="5" borderId="1" xfId="3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vertical="top"/>
    </xf>
    <xf numFmtId="0" fontId="14" fillId="5" borderId="1" xfId="0" applyFont="1" applyFill="1" applyBorder="1" applyAlignment="1">
      <alignment horizontal="left" vertical="top" wrapText="1"/>
    </xf>
    <xf numFmtId="49" fontId="31" fillId="5" borderId="1" xfId="3" applyNumberFormat="1" applyFont="1" applyFill="1" applyBorder="1" applyAlignment="1">
      <alignment horizontal="center" vertical="center"/>
    </xf>
    <xf numFmtId="165" fontId="13" fillId="5" borderId="1" xfId="3" applyNumberFormat="1" applyFont="1" applyFill="1" applyBorder="1" applyAlignment="1">
      <alignment horizontal="center" vertical="center" wrapText="1"/>
    </xf>
    <xf numFmtId="164" fontId="13" fillId="5" borderId="1" xfId="3" applyNumberFormat="1" applyFont="1" applyFill="1" applyBorder="1" applyAlignment="1">
      <alignment wrapText="1"/>
    </xf>
    <xf numFmtId="164" fontId="13" fillId="5" borderId="1" xfId="3" applyNumberFormat="1" applyFont="1" applyFill="1" applyBorder="1" applyAlignment="1">
      <alignment horizontal="right"/>
    </xf>
    <xf numFmtId="165" fontId="14" fillId="5" borderId="1" xfId="3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3" fillId="13" borderId="1" xfId="0" applyFont="1" applyFill="1" applyBorder="1" applyAlignment="1">
      <alignment horizontal="left" vertical="top" wrapText="1"/>
    </xf>
    <xf numFmtId="164" fontId="3" fillId="13" borderId="1" xfId="0" applyNumberFormat="1" applyFont="1" applyFill="1" applyBorder="1" applyAlignment="1">
      <alignment horizontal="right" vertical="top"/>
    </xf>
    <xf numFmtId="0" fontId="1" fillId="13" borderId="1" xfId="0" applyFont="1" applyFill="1" applyBorder="1" applyAlignment="1">
      <alignment vertical="top" wrapText="1"/>
    </xf>
    <xf numFmtId="164" fontId="1" fillId="13" borderId="1" xfId="0" applyNumberFormat="1" applyFont="1" applyFill="1" applyBorder="1" applyAlignment="1">
      <alignment horizontal="right" vertical="top"/>
    </xf>
    <xf numFmtId="0" fontId="1" fillId="13" borderId="1" xfId="0" quotePrefix="1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right" vertical="top" wrapText="1"/>
    </xf>
    <xf numFmtId="164" fontId="3" fillId="13" borderId="1" xfId="0" applyNumberFormat="1" applyFont="1" applyFill="1" applyBorder="1" applyAlignment="1">
      <alignment horizontal="right" vertical="top" wrapText="1"/>
    </xf>
    <xf numFmtId="0" fontId="1" fillId="13" borderId="1" xfId="0" applyFont="1" applyFill="1" applyBorder="1" applyAlignment="1">
      <alignment horizontal="left" vertical="top" wrapText="1"/>
    </xf>
    <xf numFmtId="0" fontId="1" fillId="13" borderId="1" xfId="0" applyNumberFormat="1" applyFont="1" applyFill="1" applyBorder="1" applyAlignment="1">
      <alignment horizontal="left" vertical="top" wrapText="1"/>
    </xf>
    <xf numFmtId="0" fontId="3" fillId="13" borderId="1" xfId="0" applyNumberFormat="1" applyFont="1" applyFill="1" applyBorder="1" applyAlignment="1">
      <alignment horizontal="left" vertical="top" wrapText="1"/>
    </xf>
    <xf numFmtId="164" fontId="32" fillId="0" borderId="1" xfId="0" applyNumberFormat="1" applyFont="1" applyFill="1" applyBorder="1" applyAlignment="1">
      <alignment horizontal="right" vertical="top"/>
    </xf>
    <xf numFmtId="0" fontId="3" fillId="13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13" borderId="1" xfId="0" quotePrefix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right" wrapText="1"/>
    </xf>
    <xf numFmtId="10" fontId="13" fillId="2" borderId="1" xfId="3" applyNumberFormat="1" applyFont="1" applyFill="1" applyBorder="1" applyAlignment="1">
      <alignment horizontal="center"/>
    </xf>
    <xf numFmtId="0" fontId="8" fillId="2" borderId="13" xfId="3" applyFont="1" applyFill="1" applyBorder="1"/>
    <xf numFmtId="0" fontId="8" fillId="2" borderId="6" xfId="3" applyFont="1" applyFill="1" applyBorder="1"/>
    <xf numFmtId="49" fontId="5" fillId="2" borderId="1" xfId="3" applyNumberFormat="1" applyFont="1" applyFill="1" applyBorder="1" applyAlignment="1">
      <alignment horizontal="center" vertical="center"/>
    </xf>
    <xf numFmtId="49" fontId="14" fillId="2" borderId="1" xfId="3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wrapText="1"/>
    </xf>
    <xf numFmtId="0" fontId="5" fillId="2" borderId="13" xfId="3" applyFont="1" applyFill="1" applyBorder="1"/>
    <xf numFmtId="0" fontId="5" fillId="2" borderId="6" xfId="3" applyFont="1" applyFill="1" applyBorder="1"/>
    <xf numFmtId="4" fontId="14" fillId="2" borderId="1" xfId="3" applyNumberFormat="1" applyFont="1" applyFill="1" applyBorder="1"/>
    <xf numFmtId="10" fontId="14" fillId="2" borderId="1" xfId="3" applyNumberFormat="1" applyFont="1" applyFill="1" applyBorder="1"/>
    <xf numFmtId="10" fontId="14" fillId="2" borderId="1" xfId="3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166" fontId="0" fillId="0" borderId="5" xfId="0" applyNumberFormat="1" applyBorder="1"/>
    <xf numFmtId="0" fontId="13" fillId="0" borderId="1" xfId="3" applyFont="1" applyBorder="1" applyAlignment="1">
      <alignment horizontal="center" vertical="center" wrapText="1"/>
    </xf>
    <xf numFmtId="4" fontId="25" fillId="11" borderId="13" xfId="0" applyNumberFormat="1" applyFont="1" applyFill="1" applyBorder="1"/>
    <xf numFmtId="2" fontId="0" fillId="0" borderId="5" xfId="0" applyNumberFormat="1" applyBorder="1"/>
    <xf numFmtId="0" fontId="13" fillId="0" borderId="1" xfId="3" applyFont="1" applyBorder="1" applyAlignment="1">
      <alignment horizontal="center" vertical="center" wrapText="1"/>
    </xf>
    <xf numFmtId="164" fontId="14" fillId="5" borderId="1" xfId="3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right" wrapText="1"/>
    </xf>
    <xf numFmtId="164" fontId="33" fillId="0" borderId="8" xfId="0" applyNumberFormat="1" applyFont="1" applyFill="1" applyBorder="1" applyAlignment="1">
      <alignment horizontal="left" vertical="center" wrapText="1"/>
    </xf>
    <xf numFmtId="164" fontId="33" fillId="0" borderId="2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3" fillId="6" borderId="3" xfId="3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13" fillId="6" borderId="5" xfId="3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9" fillId="5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49" fontId="18" fillId="0" borderId="3" xfId="0" applyNumberFormat="1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_Приложения к Соглашению  на 2013 год пересел." xfId="3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%23%20&#1054;&#1048;&#1055;&#1080;&#1055;\&#1055;&#1056;&#1054;&#1043;&#1056;&#1040;&#1052;&#1052;&#1067;%202019-2023\&#1054;&#1058;&#1063;&#1045;&#1058;&#1067;%20&#1055;&#1054;%20&#1055;&#1056;&#1054;&#1043;&#1056;&#1040;&#1052;&#1052;&#1040;&#1052;\2019%20&#1075;&#1086;&#1076;\&#1079;&#1072;%202019%20&#1075;&#1086;&#1076;\&#1042;%20&#1059;&#1069;%20&#1086;&#1090;&#1095;&#1077;&#1090;%20&#1087;&#1086;%20&#1052;&#1055;%20&#1046;&#1050;&#1061;%20&#1079;&#1072;%202019%20&#1075;&#1086;&#1076;\&#1054;&#1058;&#1063;&#1045;&#1058;%20&#1073;&#1083;&#1072;&#1075;&#1086;&#1091;&#1089;&#1090;&#1088;&#1086;&#1081;&#1089;&#1090;&#1074;&#1086;%2001.01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%23%20&#1054;&#1048;&#1055;&#1080;&#1055;\&#1055;&#1056;&#1054;&#1043;&#1056;&#1040;&#1052;&#1052;&#1067;%202019-2023\&#1054;&#1058;&#1063;&#1045;&#1058;&#1067;%20&#1055;&#1054;%20&#1055;&#1056;&#1054;&#1043;&#1056;&#1040;&#1052;&#1052;&#1040;&#1052;\2019%20&#1075;&#1086;&#1076;\&#1079;&#1072;%202019%20&#1075;&#1086;&#1076;\&#1042;%20&#1059;&#1069;%20&#1086;&#1090;&#1095;&#1077;&#1090;%20&#1087;&#1086;%20&#1052;&#1055;%20&#1046;&#1050;&#1061;%20&#1079;&#1072;%202019%20&#1075;&#1086;&#1076;\&#1054;&#1058;&#1063;&#1045;&#1058;%20&#1056;&#1058;&#1057;%20%2001.01.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%23%20&#1054;&#1048;&#1055;&#1080;&#1055;\&#1055;&#1056;&#1054;&#1043;&#1056;&#1040;&#1052;&#1052;&#1067;%202019-2023\&#1054;&#1058;&#1063;&#1045;&#1058;&#1067;%20&#1055;&#1054;%20&#1055;&#1056;&#1054;&#1043;&#1056;&#1040;&#1052;&#1052;&#1040;&#1052;\2019%20&#1075;&#1086;&#1076;\&#1079;&#1072;%202019%20&#1075;&#1086;&#1076;\&#1042;%20&#1059;&#1069;%20&#1086;&#1090;&#1095;&#1077;&#1090;%20&#1087;&#1086;%20&#1052;&#1055;%20&#1046;&#1050;&#1061;%20&#1079;&#1072;%202019%20&#1075;&#1086;&#1076;\&#1054;&#1058;&#1063;&#1045;&#1058;%20&#1084;&#1077;&#1089;&#1090;&#1085;&#1086;&#1077;%20&#1089;&#1072;&#1084;&#1086;&#1091;&#1087;&#1088;&#1072;&#1074;&#1083;&#1077;&#1085;&#1080;&#1077;%2001.01.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%23%20&#1054;&#1048;&#1055;&#1080;&#1055;\&#1055;&#1056;&#1054;&#1043;&#1056;&#1040;&#1052;&#1052;&#1067;%202019-2023\&#1054;&#1058;&#1063;&#1045;&#1058;&#1067;%20&#1055;&#1054;%20&#1055;&#1056;&#1054;&#1043;&#1056;&#1040;&#1052;&#1052;&#1040;&#1052;\2019%20&#1075;&#1086;&#1076;\&#1079;&#1072;%202019%20&#1075;&#1086;&#1076;\&#1042;%20&#1059;&#1069;%20&#1086;&#1090;&#1095;&#1077;&#1090;%20&#1087;&#1086;%20&#1052;&#1055;%20&#1046;&#1050;&#1061;%20&#1079;&#1072;%202019%20&#1075;&#1086;&#1076;\&#1054;&#1058;&#1063;&#1045;&#1058;%20&#1082;&#1086;&#1084;&#1092;%20&#1078;&#1080;&#1083;&#1100;&#1077;%2001.01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.1"/>
    </sheetNames>
    <sheetDataSet>
      <sheetData sheetId="0" refreshError="1">
        <row r="43">
          <cell r="D43">
            <v>79277.000289999996</v>
          </cell>
          <cell r="E43">
            <v>69598.584019999995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.1"/>
    </sheetNames>
    <sheetDataSet>
      <sheetData sheetId="0" refreshError="1">
        <row r="23">
          <cell r="C23">
            <v>9254.7930000000015</v>
          </cell>
          <cell r="D23">
            <v>5387.7403200000008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.1"/>
    </sheetNames>
    <sheetDataSet>
      <sheetData sheetId="0" refreshError="1">
        <row r="18">
          <cell r="D18">
            <v>49258.851020000002</v>
          </cell>
          <cell r="E18">
            <v>47753.976929999997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.1"/>
    </sheetNames>
    <sheetDataSet>
      <sheetData sheetId="0" refreshError="1">
        <row r="24">
          <cell r="D24">
            <v>12158.43201</v>
          </cell>
          <cell r="E24">
            <v>11748.862710000001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6"/>
  <sheetViews>
    <sheetView tabSelected="1" view="pageBreakPreview" zoomScale="90" zoomScaleNormal="90" zoomScaleSheetLayoutView="9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A13" sqref="A13:XFD13"/>
    </sheetView>
  </sheetViews>
  <sheetFormatPr defaultColWidth="0" defaultRowHeight="12.75"/>
  <cols>
    <col min="1" max="1" width="5.7109375" style="1" customWidth="1"/>
    <col min="2" max="2" width="32.85546875" style="1" customWidth="1"/>
    <col min="3" max="3" width="10.42578125" style="1" customWidth="1"/>
    <col min="4" max="4" width="10.28515625" style="1" customWidth="1"/>
    <col min="5" max="5" width="9.7109375" style="1" customWidth="1"/>
    <col min="6" max="6" width="10.28515625" style="1" customWidth="1"/>
    <col min="7" max="7" width="10.85546875" style="1" customWidth="1"/>
    <col min="8" max="8" width="10.7109375" style="1" customWidth="1"/>
    <col min="9" max="9" width="9.5703125" style="1" customWidth="1"/>
    <col min="10" max="10" width="10.140625" style="1" customWidth="1"/>
    <col min="11" max="11" width="10.7109375" style="1" customWidth="1"/>
    <col min="12" max="12" width="10.28515625" style="1" customWidth="1"/>
    <col min="13" max="13" width="10" style="1" customWidth="1"/>
    <col min="14" max="15" width="9.85546875" style="1" customWidth="1"/>
    <col min="16" max="232" width="9.140625" style="1" customWidth="1"/>
    <col min="233" max="233" width="39.85546875" style="1" customWidth="1"/>
    <col min="234" max="234" width="11.140625" style="1" customWidth="1"/>
    <col min="235" max="235" width="0" style="1" hidden="1" customWidth="1"/>
    <col min="236" max="236" width="9.5703125" style="1" customWidth="1"/>
    <col min="237" max="237" width="6.5703125" style="1" customWidth="1"/>
    <col min="238" max="16384" width="0" style="1" hidden="1"/>
  </cols>
  <sheetData>
    <row r="2" spans="1:17" ht="15" customHeight="1">
      <c r="A2" s="270" t="s">
        <v>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ht="15" customHeight="1">
      <c r="A3" s="270" t="s">
        <v>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 customHeight="1">
      <c r="A4" s="270" t="s">
        <v>526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>
      <c r="L5" s="4"/>
      <c r="M5" s="4"/>
      <c r="N5" s="4"/>
      <c r="O5" s="4"/>
      <c r="Q5" s="4" t="s">
        <v>7</v>
      </c>
    </row>
    <row r="6" spans="1:17" s="2" customFormat="1" ht="16.5" customHeight="1">
      <c r="A6" s="271" t="s">
        <v>33</v>
      </c>
      <c r="B6" s="274" t="s">
        <v>41</v>
      </c>
      <c r="C6" s="274" t="s">
        <v>9</v>
      </c>
      <c r="D6" s="269" t="s">
        <v>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7" s="2" customFormat="1" ht="29.25" customHeight="1">
      <c r="A7" s="272"/>
      <c r="B7" s="274"/>
      <c r="C7" s="274"/>
      <c r="D7" s="269" t="s">
        <v>11</v>
      </c>
      <c r="E7" s="269"/>
      <c r="F7" s="269"/>
      <c r="G7" s="269"/>
      <c r="H7" s="274" t="s">
        <v>39</v>
      </c>
      <c r="I7" s="269"/>
      <c r="J7" s="269"/>
      <c r="K7" s="269"/>
      <c r="L7" s="274" t="s">
        <v>38</v>
      </c>
      <c r="M7" s="269"/>
      <c r="N7" s="269"/>
      <c r="O7" s="269"/>
      <c r="P7" s="274" t="s">
        <v>12</v>
      </c>
      <c r="Q7" s="274" t="s">
        <v>13</v>
      </c>
    </row>
    <row r="8" spans="1:17" s="2" customFormat="1" ht="16.5" customHeight="1">
      <c r="A8" s="272"/>
      <c r="B8" s="274"/>
      <c r="C8" s="274"/>
      <c r="D8" s="269" t="s">
        <v>3</v>
      </c>
      <c r="E8" s="269" t="s">
        <v>14</v>
      </c>
      <c r="F8" s="269"/>
      <c r="G8" s="269"/>
      <c r="H8" s="269" t="s">
        <v>3</v>
      </c>
      <c r="I8" s="269" t="s">
        <v>14</v>
      </c>
      <c r="J8" s="269"/>
      <c r="K8" s="269"/>
      <c r="L8" s="269" t="s">
        <v>3</v>
      </c>
      <c r="M8" s="269" t="s">
        <v>14</v>
      </c>
      <c r="N8" s="269"/>
      <c r="O8" s="269"/>
      <c r="P8" s="274"/>
      <c r="Q8" s="274"/>
    </row>
    <row r="9" spans="1:17" s="2" customFormat="1" ht="33.75" customHeight="1">
      <c r="A9" s="273"/>
      <c r="B9" s="274"/>
      <c r="C9" s="274"/>
      <c r="D9" s="269"/>
      <c r="E9" s="31" t="s">
        <v>4</v>
      </c>
      <c r="F9" s="31" t="s">
        <v>1</v>
      </c>
      <c r="G9" s="31" t="s">
        <v>15</v>
      </c>
      <c r="H9" s="269"/>
      <c r="I9" s="31" t="s">
        <v>4</v>
      </c>
      <c r="J9" s="31" t="s">
        <v>1</v>
      </c>
      <c r="K9" s="31" t="s">
        <v>15</v>
      </c>
      <c r="L9" s="269"/>
      <c r="M9" s="31" t="s">
        <v>4</v>
      </c>
      <c r="N9" s="31" t="s">
        <v>1</v>
      </c>
      <c r="O9" s="31" t="s">
        <v>15</v>
      </c>
      <c r="P9" s="274"/>
      <c r="Q9" s="274"/>
    </row>
    <row r="10" spans="1:17" ht="15.75" customHeight="1">
      <c r="A10" s="11"/>
      <c r="B10" s="5">
        <v>1</v>
      </c>
      <c r="C10" s="6">
        <v>2</v>
      </c>
      <c r="D10" s="5">
        <v>3</v>
      </c>
      <c r="E10" s="6">
        <v>4</v>
      </c>
      <c r="F10" s="5">
        <v>5</v>
      </c>
      <c r="G10" s="6">
        <v>6</v>
      </c>
      <c r="H10" s="5">
        <v>7</v>
      </c>
      <c r="I10" s="6">
        <v>8</v>
      </c>
      <c r="J10" s="5">
        <v>9</v>
      </c>
      <c r="K10" s="6">
        <v>10</v>
      </c>
      <c r="L10" s="5">
        <v>11</v>
      </c>
      <c r="M10" s="6">
        <v>12</v>
      </c>
      <c r="N10" s="5">
        <v>13</v>
      </c>
      <c r="O10" s="6">
        <v>14</v>
      </c>
      <c r="P10" s="5">
        <v>15</v>
      </c>
      <c r="Q10" s="6">
        <v>16</v>
      </c>
    </row>
    <row r="11" spans="1:17" s="3" customFormat="1" ht="63.75">
      <c r="A11" s="40">
        <v>1</v>
      </c>
      <c r="B11" s="34" t="s">
        <v>48</v>
      </c>
      <c r="C11" s="33">
        <f>C12+C13+C14+C15</f>
        <v>343136.6</v>
      </c>
      <c r="D11" s="33">
        <f t="shared" ref="D11:O11" si="0">D12+D13+D14+D15</f>
        <v>343136.6</v>
      </c>
      <c r="E11" s="33">
        <f t="shared" si="0"/>
        <v>4649.3999999999996</v>
      </c>
      <c r="F11" s="33">
        <f t="shared" si="0"/>
        <v>338487.2</v>
      </c>
      <c r="G11" s="33">
        <f t="shared" si="0"/>
        <v>0</v>
      </c>
      <c r="H11" s="33">
        <f t="shared" si="0"/>
        <v>336936.4</v>
      </c>
      <c r="I11" s="33">
        <f t="shared" si="0"/>
        <v>3588.7</v>
      </c>
      <c r="J11" s="33">
        <f t="shared" si="0"/>
        <v>333347.7</v>
      </c>
      <c r="K11" s="33">
        <f t="shared" si="0"/>
        <v>0</v>
      </c>
      <c r="L11" s="33">
        <f t="shared" si="0"/>
        <v>336813</v>
      </c>
      <c r="M11" s="33">
        <f t="shared" si="0"/>
        <v>3588.7</v>
      </c>
      <c r="N11" s="33">
        <f t="shared" si="0"/>
        <v>333224.3</v>
      </c>
      <c r="O11" s="33">
        <f t="shared" si="0"/>
        <v>0</v>
      </c>
      <c r="P11" s="148">
        <f>H11/D11</f>
        <v>0.98</v>
      </c>
      <c r="Q11" s="148">
        <f>L11/D11</f>
        <v>0.98</v>
      </c>
    </row>
    <row r="12" spans="1:17" ht="82.5" customHeight="1">
      <c r="A12" s="41"/>
      <c r="B12" s="35" t="s">
        <v>44</v>
      </c>
      <c r="C12" s="11">
        <v>152817.1</v>
      </c>
      <c r="D12" s="11">
        <f>E12+F12+G12</f>
        <v>152817.1</v>
      </c>
      <c r="E12" s="11">
        <v>4649.3999999999996</v>
      </c>
      <c r="F12" s="11">
        <v>148167.70000000001</v>
      </c>
      <c r="G12" s="11"/>
      <c r="H12" s="11">
        <f>I12+J12+K12</f>
        <v>149935.6</v>
      </c>
      <c r="I12" s="11">
        <v>3588.7</v>
      </c>
      <c r="J12" s="11">
        <v>146346.9</v>
      </c>
      <c r="K12" s="11"/>
      <c r="L12" s="11">
        <f>M12+N12+O12</f>
        <v>149935.6</v>
      </c>
      <c r="M12" s="11">
        <v>3588.7</v>
      </c>
      <c r="N12" s="11">
        <v>146346.9</v>
      </c>
      <c r="O12" s="11"/>
      <c r="P12" s="139">
        <f>H12/D12</f>
        <v>0.98</v>
      </c>
      <c r="Q12" s="139">
        <f>L12/D12</f>
        <v>0.98</v>
      </c>
    </row>
    <row r="13" spans="1:17" ht="58.5" customHeight="1">
      <c r="A13" s="41"/>
      <c r="B13" s="35" t="s">
        <v>45</v>
      </c>
      <c r="C13" s="11">
        <v>122610.2</v>
      </c>
      <c r="D13" s="11">
        <f t="shared" ref="D13:D15" si="1">E13+F13+G13</f>
        <v>122610.2</v>
      </c>
      <c r="E13" s="11"/>
      <c r="F13" s="11">
        <v>122610.2</v>
      </c>
      <c r="G13" s="11"/>
      <c r="H13" s="11">
        <f t="shared" ref="H13:H15" si="2">I13+J13+K13</f>
        <v>121502.3</v>
      </c>
      <c r="I13" s="11"/>
      <c r="J13" s="11">
        <v>121502.3</v>
      </c>
      <c r="K13" s="11"/>
      <c r="L13" s="11">
        <f t="shared" ref="L13:L15" si="3">M13+N13+O13</f>
        <v>121502.3</v>
      </c>
      <c r="M13" s="11"/>
      <c r="N13" s="11">
        <v>121502.3</v>
      </c>
      <c r="O13" s="11"/>
      <c r="P13" s="139">
        <f t="shared" ref="P13:P15" si="4">H13/D13</f>
        <v>0.99</v>
      </c>
      <c r="Q13" s="139">
        <f t="shared" ref="Q13:Q15" si="5">L13/D13</f>
        <v>0.99</v>
      </c>
    </row>
    <row r="14" spans="1:17" ht="57.75" customHeight="1">
      <c r="A14" s="41"/>
      <c r="B14" s="35" t="s">
        <v>46</v>
      </c>
      <c r="C14" s="11">
        <v>30677.7</v>
      </c>
      <c r="D14" s="11">
        <f t="shared" si="1"/>
        <v>30677.7</v>
      </c>
      <c r="E14" s="11"/>
      <c r="F14" s="11">
        <v>30677.7</v>
      </c>
      <c r="G14" s="11"/>
      <c r="H14" s="11">
        <f t="shared" si="2"/>
        <v>29653.3</v>
      </c>
      <c r="I14" s="11"/>
      <c r="J14" s="11">
        <v>29653.3</v>
      </c>
      <c r="K14" s="11"/>
      <c r="L14" s="11">
        <f t="shared" si="3"/>
        <v>29529.9</v>
      </c>
      <c r="M14" s="11"/>
      <c r="N14" s="11">
        <v>29529.9</v>
      </c>
      <c r="O14" s="11"/>
      <c r="P14" s="139">
        <f t="shared" si="4"/>
        <v>0.97</v>
      </c>
      <c r="Q14" s="139">
        <f t="shared" si="5"/>
        <v>0.96</v>
      </c>
    </row>
    <row r="15" spans="1:17" ht="60.75" customHeight="1">
      <c r="A15" s="41"/>
      <c r="B15" s="35" t="s">
        <v>47</v>
      </c>
      <c r="C15" s="11">
        <v>37031.599999999999</v>
      </c>
      <c r="D15" s="11">
        <f t="shared" si="1"/>
        <v>37031.599999999999</v>
      </c>
      <c r="E15" s="11"/>
      <c r="F15" s="11">
        <v>37031.599999999999</v>
      </c>
      <c r="G15" s="11"/>
      <c r="H15" s="11">
        <f t="shared" si="2"/>
        <v>35845.199999999997</v>
      </c>
      <c r="I15" s="11"/>
      <c r="J15" s="11">
        <v>35845.199999999997</v>
      </c>
      <c r="K15" s="11"/>
      <c r="L15" s="11">
        <f t="shared" si="3"/>
        <v>35845.199999999997</v>
      </c>
      <c r="M15" s="11"/>
      <c r="N15" s="11">
        <v>35845.199999999997</v>
      </c>
      <c r="O15" s="11"/>
      <c r="P15" s="139">
        <f t="shared" si="4"/>
        <v>0.97</v>
      </c>
      <c r="Q15" s="139">
        <f t="shared" si="5"/>
        <v>0.97</v>
      </c>
    </row>
    <row r="16" spans="1:17" ht="76.5">
      <c r="A16" s="40">
        <v>2</v>
      </c>
      <c r="B16" s="34" t="s">
        <v>55</v>
      </c>
      <c r="C16" s="33">
        <f>C17+C18+C19+C20+C21+C22</f>
        <v>726033.4</v>
      </c>
      <c r="D16" s="33">
        <f t="shared" ref="D16:O16" si="6">D17+D18+D19+D20+D21+D22</f>
        <v>726033.4</v>
      </c>
      <c r="E16" s="33">
        <f t="shared" si="6"/>
        <v>413898.4</v>
      </c>
      <c r="F16" s="33">
        <f t="shared" si="6"/>
        <v>311785.40000000002</v>
      </c>
      <c r="G16" s="33">
        <f t="shared" si="6"/>
        <v>349.6</v>
      </c>
      <c r="H16" s="33">
        <f t="shared" si="6"/>
        <v>610049.9</v>
      </c>
      <c r="I16" s="33">
        <f t="shared" si="6"/>
        <v>313112.3</v>
      </c>
      <c r="J16" s="33">
        <f t="shared" si="6"/>
        <v>296588</v>
      </c>
      <c r="K16" s="33">
        <f t="shared" si="6"/>
        <v>349.6</v>
      </c>
      <c r="L16" s="33">
        <f t="shared" si="6"/>
        <v>610049.9</v>
      </c>
      <c r="M16" s="33">
        <f t="shared" si="6"/>
        <v>313112.3</v>
      </c>
      <c r="N16" s="33">
        <f t="shared" si="6"/>
        <v>296588</v>
      </c>
      <c r="O16" s="33">
        <f t="shared" si="6"/>
        <v>349.6</v>
      </c>
      <c r="P16" s="148">
        <f>H16/D16</f>
        <v>0.84</v>
      </c>
      <c r="Q16" s="148">
        <f>L16/D16</f>
        <v>0.84</v>
      </c>
    </row>
    <row r="17" spans="1:17" ht="44.25" customHeight="1">
      <c r="A17" s="41"/>
      <c r="B17" s="36" t="s">
        <v>49</v>
      </c>
      <c r="C17" s="11">
        <v>129739.6</v>
      </c>
      <c r="D17" s="11">
        <f>E17+F17+G17</f>
        <v>129739.6</v>
      </c>
      <c r="E17" s="11">
        <v>67876.899999999994</v>
      </c>
      <c r="F17" s="11">
        <v>61862.7</v>
      </c>
      <c r="G17" s="11"/>
      <c r="H17" s="11">
        <f>I17+J17+K17</f>
        <v>103878.3</v>
      </c>
      <c r="I17" s="11">
        <v>47234</v>
      </c>
      <c r="J17" s="11">
        <v>56644.3</v>
      </c>
      <c r="K17" s="11"/>
      <c r="L17" s="11">
        <f>M17+N17+O17</f>
        <v>103878.3</v>
      </c>
      <c r="M17" s="11">
        <v>47234</v>
      </c>
      <c r="N17" s="11">
        <v>56644.3</v>
      </c>
      <c r="O17" s="11"/>
      <c r="P17" s="139">
        <f>H17/D17</f>
        <v>0.8</v>
      </c>
      <c r="Q17" s="139">
        <f>L17/D17</f>
        <v>0.8</v>
      </c>
    </row>
    <row r="18" spans="1:17" ht="59.25" customHeight="1">
      <c r="A18" s="41"/>
      <c r="B18" s="35" t="s">
        <v>50</v>
      </c>
      <c r="C18" s="11">
        <v>14964.1</v>
      </c>
      <c r="D18" s="11">
        <f t="shared" ref="D18:D22" si="7">E18+F18+G18</f>
        <v>14964.1</v>
      </c>
      <c r="E18" s="11"/>
      <c r="F18" s="11">
        <v>14964.1</v>
      </c>
      <c r="G18" s="11"/>
      <c r="H18" s="11">
        <f t="shared" ref="H18:H22" si="8">I18+J18+K18</f>
        <v>14709.2</v>
      </c>
      <c r="I18" s="11"/>
      <c r="J18" s="11">
        <v>14709.2</v>
      </c>
      <c r="K18" s="11"/>
      <c r="L18" s="11">
        <f t="shared" ref="L18:L22" si="9">M18+N18+O18</f>
        <v>14709.2</v>
      </c>
      <c r="M18" s="11"/>
      <c r="N18" s="11">
        <v>14709.2</v>
      </c>
      <c r="O18" s="11"/>
      <c r="P18" s="139">
        <f t="shared" ref="P18:P21" si="10">H18/D18</f>
        <v>0.98</v>
      </c>
      <c r="Q18" s="139">
        <f t="shared" ref="Q18" si="11">N18/D18</f>
        <v>0.98</v>
      </c>
    </row>
    <row r="19" spans="1:17" ht="72.75" customHeight="1">
      <c r="A19" s="41"/>
      <c r="B19" s="35" t="s">
        <v>52</v>
      </c>
      <c r="C19" s="11">
        <v>277973.09999999998</v>
      </c>
      <c r="D19" s="11">
        <f t="shared" si="7"/>
        <v>277973.09999999998</v>
      </c>
      <c r="E19" s="11">
        <v>150962.4</v>
      </c>
      <c r="F19" s="11">
        <v>127010.7</v>
      </c>
      <c r="G19" s="11"/>
      <c r="H19" s="11">
        <f t="shared" si="8"/>
        <v>268886.8</v>
      </c>
      <c r="I19" s="11">
        <v>146258.6</v>
      </c>
      <c r="J19" s="11">
        <v>122628.2</v>
      </c>
      <c r="K19" s="11"/>
      <c r="L19" s="11">
        <f t="shared" si="9"/>
        <v>268886.8</v>
      </c>
      <c r="M19" s="11">
        <v>146258.6</v>
      </c>
      <c r="N19" s="11">
        <v>122628.2</v>
      </c>
      <c r="O19" s="11"/>
      <c r="P19" s="139">
        <f t="shared" si="10"/>
        <v>0.97</v>
      </c>
      <c r="Q19" s="139">
        <f t="shared" ref="Q19:Q26" si="12">L19/D19</f>
        <v>0.97</v>
      </c>
    </row>
    <row r="20" spans="1:17" ht="109.5" customHeight="1">
      <c r="A20" s="41"/>
      <c r="B20" s="35" t="s">
        <v>53</v>
      </c>
      <c r="C20" s="11">
        <v>38909.800000000003</v>
      </c>
      <c r="D20" s="11">
        <f t="shared" si="7"/>
        <v>38909.800000000003</v>
      </c>
      <c r="E20" s="11">
        <v>33564.800000000003</v>
      </c>
      <c r="F20" s="11">
        <v>4995.3999999999996</v>
      </c>
      <c r="G20" s="11">
        <v>349.6</v>
      </c>
      <c r="H20" s="11">
        <f t="shared" si="8"/>
        <v>35669.699999999997</v>
      </c>
      <c r="I20" s="11">
        <v>33564.800000000003</v>
      </c>
      <c r="J20" s="11">
        <v>1755.3</v>
      </c>
      <c r="K20" s="11">
        <v>349.6</v>
      </c>
      <c r="L20" s="11">
        <f t="shared" si="9"/>
        <v>35669.699999999997</v>
      </c>
      <c r="M20" s="11">
        <v>33564.800000000003</v>
      </c>
      <c r="N20" s="11">
        <v>1755.3</v>
      </c>
      <c r="O20" s="11">
        <v>349.6</v>
      </c>
      <c r="P20" s="139">
        <f t="shared" ref="P20" si="13">H20/D20</f>
        <v>0.92</v>
      </c>
      <c r="Q20" s="139">
        <f t="shared" si="12"/>
        <v>0.92</v>
      </c>
    </row>
    <row r="21" spans="1:17" ht="70.5" customHeight="1">
      <c r="A21" s="41"/>
      <c r="B21" s="35" t="s">
        <v>54</v>
      </c>
      <c r="C21" s="11">
        <v>105877.2</v>
      </c>
      <c r="D21" s="11">
        <f t="shared" si="7"/>
        <v>105877.2</v>
      </c>
      <c r="E21" s="11">
        <v>3496.4</v>
      </c>
      <c r="F21" s="11">
        <v>102380.8</v>
      </c>
      <c r="G21" s="11"/>
      <c r="H21" s="11">
        <f t="shared" si="8"/>
        <v>103634</v>
      </c>
      <c r="I21" s="11">
        <v>3326.6</v>
      </c>
      <c r="J21" s="11">
        <v>100307.4</v>
      </c>
      <c r="K21" s="11"/>
      <c r="L21" s="11">
        <f t="shared" si="9"/>
        <v>103634</v>
      </c>
      <c r="M21" s="11">
        <v>3326.6</v>
      </c>
      <c r="N21" s="11">
        <v>100307.4</v>
      </c>
      <c r="O21" s="11"/>
      <c r="P21" s="139">
        <f t="shared" si="10"/>
        <v>0.98</v>
      </c>
      <c r="Q21" s="139">
        <f t="shared" si="12"/>
        <v>0.98</v>
      </c>
    </row>
    <row r="22" spans="1:17" ht="76.5">
      <c r="A22" s="41"/>
      <c r="B22" s="35" t="s">
        <v>51</v>
      </c>
      <c r="C22" s="11">
        <v>158569.60000000001</v>
      </c>
      <c r="D22" s="11">
        <f t="shared" si="7"/>
        <v>158569.60000000001</v>
      </c>
      <c r="E22" s="11">
        <v>157997.9</v>
      </c>
      <c r="F22" s="11">
        <v>571.70000000000005</v>
      </c>
      <c r="G22" s="11"/>
      <c r="H22" s="11">
        <f t="shared" si="8"/>
        <v>83271.899999999994</v>
      </c>
      <c r="I22" s="11">
        <v>82728.3</v>
      </c>
      <c r="J22" s="11">
        <v>543.6</v>
      </c>
      <c r="K22" s="11"/>
      <c r="L22" s="11">
        <f t="shared" si="9"/>
        <v>83271.899999999994</v>
      </c>
      <c r="M22" s="11">
        <v>82728.3</v>
      </c>
      <c r="N22" s="11">
        <v>543.6</v>
      </c>
      <c r="O22" s="11"/>
      <c r="P22" s="139">
        <f t="shared" ref="P22" si="14">H22/D22</f>
        <v>0.53</v>
      </c>
      <c r="Q22" s="139">
        <f t="shared" si="12"/>
        <v>0.53</v>
      </c>
    </row>
    <row r="23" spans="1:17" ht="60" customHeight="1">
      <c r="A23" s="40">
        <v>3</v>
      </c>
      <c r="B23" s="34" t="s">
        <v>56</v>
      </c>
      <c r="C23" s="93">
        <f>C24+C25</f>
        <v>66587.3</v>
      </c>
      <c r="D23" s="93">
        <f t="shared" ref="D23:O23" si="15">D24+D25</f>
        <v>66587.3</v>
      </c>
      <c r="E23" s="93">
        <f t="shared" si="15"/>
        <v>63501.7</v>
      </c>
      <c r="F23" s="93">
        <f t="shared" si="15"/>
        <v>2877.1</v>
      </c>
      <c r="G23" s="93">
        <f t="shared" si="15"/>
        <v>208.5</v>
      </c>
      <c r="H23" s="93">
        <f t="shared" si="15"/>
        <v>65105</v>
      </c>
      <c r="I23" s="93">
        <f t="shared" si="15"/>
        <v>62254.3</v>
      </c>
      <c r="J23" s="93">
        <f t="shared" si="15"/>
        <v>2680.8</v>
      </c>
      <c r="K23" s="93">
        <f t="shared" si="15"/>
        <v>169.9</v>
      </c>
      <c r="L23" s="93">
        <f t="shared" si="15"/>
        <v>65105</v>
      </c>
      <c r="M23" s="93">
        <f t="shared" si="15"/>
        <v>62254.3</v>
      </c>
      <c r="N23" s="93">
        <f t="shared" si="15"/>
        <v>2680.8</v>
      </c>
      <c r="O23" s="93">
        <f t="shared" si="15"/>
        <v>169.9</v>
      </c>
      <c r="P23" s="207">
        <f t="shared" ref="P23:P28" si="16">H23/D23</f>
        <v>0.98</v>
      </c>
      <c r="Q23" s="207">
        <f t="shared" si="12"/>
        <v>0.98</v>
      </c>
    </row>
    <row r="24" spans="1:17" ht="69.75" customHeight="1">
      <c r="A24" s="41"/>
      <c r="B24" s="37" t="s">
        <v>57</v>
      </c>
      <c r="C24" s="91">
        <v>56278</v>
      </c>
      <c r="D24" s="91">
        <f>E24+F24+G24</f>
        <v>56278</v>
      </c>
      <c r="E24" s="91">
        <v>53501.7</v>
      </c>
      <c r="F24" s="91">
        <v>2567.8000000000002</v>
      </c>
      <c r="G24" s="91">
        <v>208.5</v>
      </c>
      <c r="H24" s="91">
        <f>I24+J24+K24</f>
        <v>54800.5</v>
      </c>
      <c r="I24" s="91">
        <v>52258.9</v>
      </c>
      <c r="J24" s="91">
        <v>2371.6999999999998</v>
      </c>
      <c r="K24" s="91">
        <v>169.9</v>
      </c>
      <c r="L24" s="91">
        <f>M24+N24+O24</f>
        <v>54800.5</v>
      </c>
      <c r="M24" s="91">
        <v>52258.9</v>
      </c>
      <c r="N24" s="91">
        <v>2371.6999999999998</v>
      </c>
      <c r="O24" s="91">
        <v>169.9</v>
      </c>
      <c r="P24" s="24">
        <f t="shared" si="16"/>
        <v>0.97399999999999998</v>
      </c>
      <c r="Q24" s="24">
        <f t="shared" si="12"/>
        <v>0.97399999999999998</v>
      </c>
    </row>
    <row r="25" spans="1:17" ht="63.75">
      <c r="A25" s="41"/>
      <c r="B25" s="38" t="s">
        <v>58</v>
      </c>
      <c r="C25" s="91">
        <v>10309.299999999999</v>
      </c>
      <c r="D25" s="91">
        <f>E25+F25+G25</f>
        <v>10309.299999999999</v>
      </c>
      <c r="E25" s="91">
        <v>10000</v>
      </c>
      <c r="F25" s="91">
        <v>309.3</v>
      </c>
      <c r="G25" s="91">
        <v>0</v>
      </c>
      <c r="H25" s="91">
        <f>I25+J25+K25</f>
        <v>10304.5</v>
      </c>
      <c r="I25" s="91">
        <v>9995.4</v>
      </c>
      <c r="J25" s="91">
        <v>309.10000000000002</v>
      </c>
      <c r="K25" s="91">
        <v>0</v>
      </c>
      <c r="L25" s="91">
        <f>M25+N25+O25</f>
        <v>10304.5</v>
      </c>
      <c r="M25" s="91">
        <v>9995.4</v>
      </c>
      <c r="N25" s="91">
        <v>309.10000000000002</v>
      </c>
      <c r="O25" s="91">
        <v>0</v>
      </c>
      <c r="P25" s="24">
        <f t="shared" si="16"/>
        <v>1</v>
      </c>
      <c r="Q25" s="24">
        <f t="shared" si="12"/>
        <v>1</v>
      </c>
    </row>
    <row r="26" spans="1:17" s="3" customFormat="1" ht="57.75" customHeight="1">
      <c r="A26" s="40">
        <v>4</v>
      </c>
      <c r="B26" s="18" t="s">
        <v>42</v>
      </c>
      <c r="C26" s="16">
        <f>C27+C28</f>
        <v>4328</v>
      </c>
      <c r="D26" s="16">
        <f t="shared" ref="D26:O26" si="17">D27+D28</f>
        <v>4328</v>
      </c>
      <c r="E26" s="16">
        <f t="shared" si="17"/>
        <v>0</v>
      </c>
      <c r="F26" s="16">
        <f t="shared" si="17"/>
        <v>4328</v>
      </c>
      <c r="G26" s="16">
        <f t="shared" si="17"/>
        <v>0</v>
      </c>
      <c r="H26" s="16">
        <f t="shared" si="17"/>
        <v>4247.6000000000004</v>
      </c>
      <c r="I26" s="16">
        <f t="shared" si="17"/>
        <v>0</v>
      </c>
      <c r="J26" s="16">
        <f t="shared" si="17"/>
        <v>4247.6000000000004</v>
      </c>
      <c r="K26" s="16">
        <f t="shared" si="17"/>
        <v>0</v>
      </c>
      <c r="L26" s="16">
        <f t="shared" si="17"/>
        <v>4247.6000000000004</v>
      </c>
      <c r="M26" s="16">
        <f t="shared" si="17"/>
        <v>0</v>
      </c>
      <c r="N26" s="16">
        <f t="shared" si="17"/>
        <v>4247.6000000000004</v>
      </c>
      <c r="O26" s="16">
        <f t="shared" si="17"/>
        <v>0</v>
      </c>
      <c r="P26" s="23">
        <f t="shared" si="16"/>
        <v>0.98099999999999998</v>
      </c>
      <c r="Q26" s="23">
        <f t="shared" si="12"/>
        <v>0.98099999999999998</v>
      </c>
    </row>
    <row r="27" spans="1:17" ht="72" customHeight="1">
      <c r="A27" s="41"/>
      <c r="B27" s="32" t="s">
        <v>530</v>
      </c>
      <c r="C27" s="12">
        <v>3760</v>
      </c>
      <c r="D27" s="12">
        <f>E27+F27+G27</f>
        <v>3760</v>
      </c>
      <c r="E27" s="12">
        <f>Предприним!E24</f>
        <v>0</v>
      </c>
      <c r="F27" s="12">
        <v>3760</v>
      </c>
      <c r="G27" s="12">
        <f>Предприним!G24</f>
        <v>0</v>
      </c>
      <c r="H27" s="12">
        <f>I27+J27+K27</f>
        <v>3733.5</v>
      </c>
      <c r="I27" s="12">
        <f>Предприним!I24</f>
        <v>0</v>
      </c>
      <c r="J27" s="12">
        <v>3733.5</v>
      </c>
      <c r="K27" s="12">
        <f>Предприним!K24</f>
        <v>0</v>
      </c>
      <c r="L27" s="12">
        <f>M27+N27+O27</f>
        <v>3733.5</v>
      </c>
      <c r="M27" s="12">
        <f>Предприним!M24</f>
        <v>0</v>
      </c>
      <c r="N27" s="12">
        <v>3733.5</v>
      </c>
      <c r="O27" s="12">
        <f>Предприним!O24</f>
        <v>0</v>
      </c>
      <c r="P27" s="24">
        <f t="shared" si="16"/>
        <v>0.99299999999999999</v>
      </c>
      <c r="Q27" s="24">
        <f>N27/D27</f>
        <v>0.99299999999999999</v>
      </c>
    </row>
    <row r="28" spans="1:17" ht="72" customHeight="1">
      <c r="A28" s="41"/>
      <c r="B28" s="32" t="s">
        <v>34</v>
      </c>
      <c r="C28" s="12">
        <v>568</v>
      </c>
      <c r="D28" s="12">
        <f>E28+F28+G28</f>
        <v>568</v>
      </c>
      <c r="E28" s="12">
        <f>Предприним!E35</f>
        <v>0</v>
      </c>
      <c r="F28" s="12">
        <v>568</v>
      </c>
      <c r="G28" s="12">
        <f>Предприним!G35</f>
        <v>0</v>
      </c>
      <c r="H28" s="12">
        <f>I28+J28+K28</f>
        <v>514.1</v>
      </c>
      <c r="I28" s="12">
        <f>Предприним!I35</f>
        <v>0</v>
      </c>
      <c r="J28" s="12">
        <v>514.1</v>
      </c>
      <c r="K28" s="12">
        <f>Предприним!K35</f>
        <v>0</v>
      </c>
      <c r="L28" s="12">
        <f>M28+N28+O28</f>
        <v>514.1</v>
      </c>
      <c r="M28" s="12">
        <f>Предприним!M35</f>
        <v>0</v>
      </c>
      <c r="N28" s="12">
        <v>514.1</v>
      </c>
      <c r="O28" s="12">
        <f>Предприним!O35</f>
        <v>0</v>
      </c>
      <c r="P28" s="24">
        <f t="shared" si="16"/>
        <v>0.90500000000000003</v>
      </c>
      <c r="Q28" s="24">
        <f>N28/D28</f>
        <v>0.90500000000000003</v>
      </c>
    </row>
    <row r="29" spans="1:17" ht="58.5" customHeight="1">
      <c r="A29" s="40">
        <v>5</v>
      </c>
      <c r="B29" s="34" t="s">
        <v>59</v>
      </c>
      <c r="C29" s="33">
        <f>C30+C31</f>
        <v>2081.8000000000002</v>
      </c>
      <c r="D29" s="33">
        <f t="shared" ref="D29:O29" si="18">D30+D31</f>
        <v>2081.8000000000002</v>
      </c>
      <c r="E29" s="33">
        <f t="shared" si="18"/>
        <v>0</v>
      </c>
      <c r="F29" s="33">
        <f t="shared" si="18"/>
        <v>2081.8000000000002</v>
      </c>
      <c r="G29" s="33">
        <f t="shared" si="18"/>
        <v>0</v>
      </c>
      <c r="H29" s="33">
        <f t="shared" si="18"/>
        <v>1872.5</v>
      </c>
      <c r="I29" s="33">
        <f t="shared" si="18"/>
        <v>0</v>
      </c>
      <c r="J29" s="33">
        <f t="shared" si="18"/>
        <v>1872.5</v>
      </c>
      <c r="K29" s="33">
        <f t="shared" si="18"/>
        <v>0</v>
      </c>
      <c r="L29" s="33">
        <f t="shared" si="18"/>
        <v>1872.5</v>
      </c>
      <c r="M29" s="33">
        <f t="shared" si="18"/>
        <v>0</v>
      </c>
      <c r="N29" s="33">
        <f t="shared" si="18"/>
        <v>1872.5</v>
      </c>
      <c r="O29" s="33">
        <f t="shared" si="18"/>
        <v>0</v>
      </c>
      <c r="P29" s="200">
        <f t="shared" ref="P29" si="19">H29/D29</f>
        <v>0.89900000000000002</v>
      </c>
      <c r="Q29" s="200">
        <f t="shared" ref="Q29" si="20">L29/D29</f>
        <v>0.89900000000000002</v>
      </c>
    </row>
    <row r="30" spans="1:17" ht="63.75">
      <c r="A30" s="41"/>
      <c r="B30" s="36" t="s">
        <v>60</v>
      </c>
      <c r="C30" s="91">
        <v>900</v>
      </c>
      <c r="D30" s="12">
        <f>E30+F30+G30</f>
        <v>900</v>
      </c>
      <c r="E30" s="12">
        <v>0</v>
      </c>
      <c r="F30" s="12">
        <v>900</v>
      </c>
      <c r="G30" s="12">
        <v>0</v>
      </c>
      <c r="H30" s="12">
        <f>I30+J30+K30</f>
        <v>899.9</v>
      </c>
      <c r="I30" s="12">
        <v>0</v>
      </c>
      <c r="J30" s="12">
        <v>899.9</v>
      </c>
      <c r="K30" s="12">
        <v>0</v>
      </c>
      <c r="L30" s="12">
        <f>M30+N30+O30</f>
        <v>899.9</v>
      </c>
      <c r="M30" s="12">
        <v>0</v>
      </c>
      <c r="N30" s="12">
        <v>899.9</v>
      </c>
      <c r="O30" s="12">
        <v>0</v>
      </c>
      <c r="P30" s="92">
        <f t="shared" ref="P30" si="21">H30/D30</f>
        <v>1</v>
      </c>
      <c r="Q30" s="92">
        <f t="shared" ref="Q30" si="22">L30/D30</f>
        <v>1</v>
      </c>
    </row>
    <row r="31" spans="1:17" ht="51">
      <c r="A31" s="41"/>
      <c r="B31" s="35" t="s">
        <v>61</v>
      </c>
      <c r="C31" s="91">
        <v>1181.8</v>
      </c>
      <c r="D31" s="91">
        <f>F31+E31+G31</f>
        <v>1181.8</v>
      </c>
      <c r="E31" s="91">
        <v>0</v>
      </c>
      <c r="F31" s="91">
        <v>1181.8</v>
      </c>
      <c r="G31" s="91">
        <v>0</v>
      </c>
      <c r="H31" s="91">
        <f>J31+I31+K31</f>
        <v>972.6</v>
      </c>
      <c r="I31" s="91">
        <v>0</v>
      </c>
      <c r="J31" s="91">
        <v>972.6</v>
      </c>
      <c r="K31" s="91">
        <v>0</v>
      </c>
      <c r="L31" s="91">
        <f>N31+M31+O31</f>
        <v>972.6</v>
      </c>
      <c r="M31" s="91">
        <v>0</v>
      </c>
      <c r="N31" s="91">
        <v>972.6</v>
      </c>
      <c r="O31" s="91">
        <v>0</v>
      </c>
      <c r="P31" s="92">
        <f t="shared" ref="P31:P36" si="23">H31/D31</f>
        <v>0.82299999999999995</v>
      </c>
      <c r="Q31" s="92">
        <f t="shared" ref="Q31:Q36" si="24">L31/D31</f>
        <v>0.82299999999999995</v>
      </c>
    </row>
    <row r="32" spans="1:17" ht="59.25" customHeight="1">
      <c r="A32" s="40">
        <v>6</v>
      </c>
      <c r="B32" s="34" t="s">
        <v>62</v>
      </c>
      <c r="C32" s="93">
        <f>C33+C34</f>
        <v>38346.300000000003</v>
      </c>
      <c r="D32" s="93">
        <f t="shared" ref="D32:O32" si="25">D33+D34</f>
        <v>38346.300000000003</v>
      </c>
      <c r="E32" s="93">
        <f t="shared" si="25"/>
        <v>0</v>
      </c>
      <c r="F32" s="93">
        <f t="shared" si="25"/>
        <v>38346.300000000003</v>
      </c>
      <c r="G32" s="93">
        <f t="shared" si="25"/>
        <v>0</v>
      </c>
      <c r="H32" s="93">
        <f t="shared" si="25"/>
        <v>37974.699999999997</v>
      </c>
      <c r="I32" s="93">
        <f t="shared" si="25"/>
        <v>0</v>
      </c>
      <c r="J32" s="93">
        <f t="shared" si="25"/>
        <v>37974.699999999997</v>
      </c>
      <c r="K32" s="93">
        <f t="shared" si="25"/>
        <v>0</v>
      </c>
      <c r="L32" s="93">
        <f t="shared" si="25"/>
        <v>37974.699999999997</v>
      </c>
      <c r="M32" s="93">
        <f t="shared" si="25"/>
        <v>0</v>
      </c>
      <c r="N32" s="93">
        <f t="shared" si="25"/>
        <v>37974.699999999997</v>
      </c>
      <c r="O32" s="93">
        <f t="shared" si="25"/>
        <v>0</v>
      </c>
      <c r="P32" s="94">
        <f t="shared" si="23"/>
        <v>0.99</v>
      </c>
      <c r="Q32" s="94">
        <f t="shared" si="24"/>
        <v>0.99</v>
      </c>
    </row>
    <row r="33" spans="1:17" ht="25.5">
      <c r="A33" s="41"/>
      <c r="B33" s="39" t="s">
        <v>63</v>
      </c>
      <c r="C33" s="11">
        <v>4041</v>
      </c>
      <c r="D33" s="11">
        <f>E33+F33+G33</f>
        <v>4041</v>
      </c>
      <c r="E33" s="11"/>
      <c r="F33" s="11">
        <v>4041</v>
      </c>
      <c r="G33" s="11"/>
      <c r="H33" s="11">
        <f>I33+J33+K33</f>
        <v>3669.4</v>
      </c>
      <c r="I33" s="11"/>
      <c r="J33" s="11">
        <v>3669.4</v>
      </c>
      <c r="K33" s="11"/>
      <c r="L33" s="11">
        <f>M33+N33+O33</f>
        <v>3669.4</v>
      </c>
      <c r="M33" s="11"/>
      <c r="N33" s="11">
        <v>3669.4</v>
      </c>
      <c r="O33" s="11"/>
      <c r="P33" s="92">
        <f t="shared" si="23"/>
        <v>0.90800000000000003</v>
      </c>
      <c r="Q33" s="92">
        <f t="shared" si="24"/>
        <v>0.90800000000000003</v>
      </c>
    </row>
    <row r="34" spans="1:17" ht="38.25">
      <c r="A34" s="41"/>
      <c r="B34" s="35" t="s">
        <v>64</v>
      </c>
      <c r="C34" s="11">
        <v>34305.300000000003</v>
      </c>
      <c r="D34" s="11">
        <f>E34+F34+G34</f>
        <v>34305.300000000003</v>
      </c>
      <c r="E34" s="11"/>
      <c r="F34" s="11">
        <v>34305.300000000003</v>
      </c>
      <c r="G34" s="11"/>
      <c r="H34" s="11">
        <f>I34+J34+K34</f>
        <v>34305.300000000003</v>
      </c>
      <c r="I34" s="11"/>
      <c r="J34" s="11">
        <v>34305.300000000003</v>
      </c>
      <c r="K34" s="11"/>
      <c r="L34" s="11">
        <f>M34+N34+O34</f>
        <v>34305.300000000003</v>
      </c>
      <c r="M34" s="11"/>
      <c r="N34" s="11">
        <v>34305.300000000003</v>
      </c>
      <c r="O34" s="11"/>
      <c r="P34" s="92">
        <f t="shared" si="23"/>
        <v>1</v>
      </c>
      <c r="Q34" s="92">
        <f t="shared" si="24"/>
        <v>1</v>
      </c>
    </row>
    <row r="35" spans="1:17" ht="63.75">
      <c r="A35" s="40">
        <v>7</v>
      </c>
      <c r="B35" s="34" t="s">
        <v>65</v>
      </c>
      <c r="C35" s="93">
        <v>1992</v>
      </c>
      <c r="D35" s="93">
        <f>E35+F35+G35</f>
        <v>1992</v>
      </c>
      <c r="E35" s="93"/>
      <c r="F35" s="93">
        <v>1992</v>
      </c>
      <c r="G35" s="93"/>
      <c r="H35" s="93">
        <f>I35+J35+K35</f>
        <v>1371.8</v>
      </c>
      <c r="I35" s="93"/>
      <c r="J35" s="93">
        <v>1371.8</v>
      </c>
      <c r="K35" s="93"/>
      <c r="L35" s="93">
        <f>M35+N35+O35</f>
        <v>1371.8</v>
      </c>
      <c r="M35" s="93"/>
      <c r="N35" s="93">
        <v>1371.8</v>
      </c>
      <c r="O35" s="93"/>
      <c r="P35" s="94">
        <f t="shared" si="23"/>
        <v>0.68899999999999995</v>
      </c>
      <c r="Q35" s="94">
        <f t="shared" si="24"/>
        <v>0.68899999999999995</v>
      </c>
    </row>
    <row r="36" spans="1:17">
      <c r="A36" s="33"/>
      <c r="B36" s="33" t="s">
        <v>373</v>
      </c>
      <c r="C36" s="33">
        <f>C11+C16+C23+C26+C29+C32+C35</f>
        <v>1182505.3999999999</v>
      </c>
      <c r="D36" s="33">
        <f t="shared" ref="D36:O36" si="26">D11+D16+D23+D26+D29+D32+D35</f>
        <v>1182505.3999999999</v>
      </c>
      <c r="E36" s="33">
        <f t="shared" si="26"/>
        <v>482049.5</v>
      </c>
      <c r="F36" s="33">
        <f t="shared" si="26"/>
        <v>699897.8</v>
      </c>
      <c r="G36" s="33">
        <f t="shared" si="26"/>
        <v>558.1</v>
      </c>
      <c r="H36" s="33">
        <f t="shared" si="26"/>
        <v>1057557.8999999999</v>
      </c>
      <c r="I36" s="33">
        <f t="shared" si="26"/>
        <v>378955.3</v>
      </c>
      <c r="J36" s="33">
        <f t="shared" si="26"/>
        <v>678083.1</v>
      </c>
      <c r="K36" s="33">
        <f t="shared" si="26"/>
        <v>519.5</v>
      </c>
      <c r="L36" s="33">
        <f t="shared" si="26"/>
        <v>1057434.5</v>
      </c>
      <c r="M36" s="33">
        <f t="shared" si="26"/>
        <v>378955.3</v>
      </c>
      <c r="N36" s="33">
        <f t="shared" si="26"/>
        <v>677959.7</v>
      </c>
      <c r="O36" s="33">
        <f t="shared" si="26"/>
        <v>519.5</v>
      </c>
      <c r="P36" s="148">
        <f t="shared" si="23"/>
        <v>0.89</v>
      </c>
      <c r="Q36" s="148">
        <f t="shared" si="24"/>
        <v>0.89</v>
      </c>
    </row>
  </sheetData>
  <mergeCells count="18">
    <mergeCell ref="E8:G8"/>
    <mergeCell ref="H8:H9"/>
    <mergeCell ref="I8:K8"/>
    <mergeCell ref="L8:L9"/>
    <mergeCell ref="M8:O8"/>
    <mergeCell ref="A2:Q2"/>
    <mergeCell ref="A3:Q3"/>
    <mergeCell ref="A4:Q4"/>
    <mergeCell ref="A6:A9"/>
    <mergeCell ref="B6:B9"/>
    <mergeCell ref="C6:C9"/>
    <mergeCell ref="D6:Q6"/>
    <mergeCell ref="D7:G7"/>
    <mergeCell ref="H7:K7"/>
    <mergeCell ref="L7:O7"/>
    <mergeCell ref="P7:P9"/>
    <mergeCell ref="Q7:Q9"/>
    <mergeCell ref="D8:D9"/>
  </mergeCells>
  <printOptions horizontalCentered="1"/>
  <pageMargins left="0" right="0" top="0.59055118110236227" bottom="0" header="0" footer="0"/>
  <pageSetup paperSize="9" scale="75" orientation="landscape" r:id="rId1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view="pageBreakPreview" topLeftCell="A40" zoomScale="80" zoomScaleNormal="80" zoomScaleSheetLayoutView="80" workbookViewId="0">
      <selection activeCell="G49" sqref="G49"/>
    </sheetView>
  </sheetViews>
  <sheetFormatPr defaultColWidth="0" defaultRowHeight="12.75"/>
  <cols>
    <col min="1" max="1" width="5.7109375" style="217" customWidth="1"/>
    <col min="2" max="2" width="46.140625" style="217" customWidth="1"/>
    <col min="3" max="3" width="9.85546875" style="217" customWidth="1"/>
    <col min="4" max="4" width="10.28515625" style="217" customWidth="1"/>
    <col min="5" max="5" width="9.7109375" style="217" customWidth="1"/>
    <col min="6" max="6" width="10.28515625" style="217" customWidth="1"/>
    <col min="7" max="7" width="10.85546875" style="217" customWidth="1"/>
    <col min="8" max="8" width="10.42578125" style="217" customWidth="1"/>
    <col min="9" max="9" width="9.5703125" style="217" customWidth="1"/>
    <col min="10" max="10" width="10.140625" style="217" customWidth="1"/>
    <col min="11" max="11" width="10.7109375" style="217" customWidth="1"/>
    <col min="12" max="12" width="10.85546875" style="217" customWidth="1"/>
    <col min="13" max="13" width="10" style="217" customWidth="1"/>
    <col min="14" max="15" width="9.85546875" style="217" customWidth="1"/>
    <col min="16" max="230" width="9.140625" style="217" customWidth="1"/>
    <col min="231" max="231" width="39.85546875" style="217" customWidth="1"/>
    <col min="232" max="232" width="11.140625" style="217" customWidth="1"/>
    <col min="233" max="233" width="0" style="217" hidden="1" customWidth="1"/>
    <col min="234" max="234" width="9.5703125" style="217" customWidth="1"/>
    <col min="235" max="235" width="6.5703125" style="217" customWidth="1"/>
    <col min="236" max="16384" width="0" style="217" hidden="1"/>
  </cols>
  <sheetData>
    <row r="1" spans="1:17" ht="13.15" customHeight="1">
      <c r="L1" s="280" t="s">
        <v>5</v>
      </c>
      <c r="M1" s="280"/>
      <c r="N1" s="280"/>
      <c r="O1" s="280"/>
      <c r="P1" s="280"/>
      <c r="Q1" s="280"/>
    </row>
    <row r="3" spans="1:17">
      <c r="A3" s="270" t="s">
        <v>10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>
      <c r="A4" s="270" t="s">
        <v>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>
      <c r="A5" s="270" t="s">
        <v>296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>
      <c r="A6" s="270" t="s">
        <v>509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>
      <c r="A7" s="279" t="s">
        <v>75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>
      <c r="A9" s="275" t="s">
        <v>297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</row>
    <row r="10" spans="1:17">
      <c r="L10" s="4"/>
      <c r="M10" s="4"/>
      <c r="N10" s="4"/>
      <c r="O10" s="4"/>
      <c r="Q10" s="4" t="s">
        <v>7</v>
      </c>
    </row>
    <row r="11" spans="1:17" s="2" customFormat="1" ht="13.15" customHeight="1">
      <c r="A11" s="271" t="s">
        <v>33</v>
      </c>
      <c r="B11" s="274" t="s">
        <v>0</v>
      </c>
      <c r="C11" s="274" t="s">
        <v>9</v>
      </c>
      <c r="D11" s="269" t="s">
        <v>8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</row>
    <row r="12" spans="1:17" s="2" customFormat="1" ht="13.15" customHeight="1">
      <c r="A12" s="272"/>
      <c r="B12" s="274"/>
      <c r="C12" s="274"/>
      <c r="D12" s="269" t="s">
        <v>510</v>
      </c>
      <c r="E12" s="269"/>
      <c r="F12" s="269"/>
      <c r="G12" s="269"/>
      <c r="H12" s="274" t="s">
        <v>39</v>
      </c>
      <c r="I12" s="269"/>
      <c r="J12" s="269"/>
      <c r="K12" s="269"/>
      <c r="L12" s="274" t="s">
        <v>38</v>
      </c>
      <c r="M12" s="269"/>
      <c r="N12" s="269"/>
      <c r="O12" s="269"/>
      <c r="P12" s="274" t="s">
        <v>511</v>
      </c>
      <c r="Q12" s="274" t="s">
        <v>512</v>
      </c>
    </row>
    <row r="13" spans="1:17" s="2" customFormat="1">
      <c r="A13" s="272"/>
      <c r="B13" s="274"/>
      <c r="C13" s="274"/>
      <c r="D13" s="269" t="s">
        <v>3</v>
      </c>
      <c r="E13" s="269" t="s">
        <v>14</v>
      </c>
      <c r="F13" s="269"/>
      <c r="G13" s="269"/>
      <c r="H13" s="269" t="s">
        <v>3</v>
      </c>
      <c r="I13" s="269" t="s">
        <v>14</v>
      </c>
      <c r="J13" s="269"/>
      <c r="K13" s="269"/>
      <c r="L13" s="269" t="s">
        <v>3</v>
      </c>
      <c r="M13" s="269" t="s">
        <v>14</v>
      </c>
      <c r="N13" s="269"/>
      <c r="O13" s="269"/>
      <c r="P13" s="274"/>
      <c r="Q13" s="274"/>
    </row>
    <row r="14" spans="1:17" s="2" customFormat="1" ht="25.5">
      <c r="A14" s="273"/>
      <c r="B14" s="274"/>
      <c r="C14" s="274"/>
      <c r="D14" s="269"/>
      <c r="E14" s="215" t="s">
        <v>4</v>
      </c>
      <c r="F14" s="215" t="s">
        <v>1</v>
      </c>
      <c r="G14" s="215" t="s">
        <v>15</v>
      </c>
      <c r="H14" s="269"/>
      <c r="I14" s="215" t="s">
        <v>4</v>
      </c>
      <c r="J14" s="215" t="s">
        <v>1</v>
      </c>
      <c r="K14" s="215" t="s">
        <v>15</v>
      </c>
      <c r="L14" s="269"/>
      <c r="M14" s="215" t="s">
        <v>4</v>
      </c>
      <c r="N14" s="215" t="s">
        <v>1</v>
      </c>
      <c r="O14" s="215" t="s">
        <v>15</v>
      </c>
      <c r="P14" s="274"/>
      <c r="Q14" s="274"/>
    </row>
    <row r="15" spans="1:1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</row>
    <row r="16" spans="1:17" ht="13.15" customHeight="1">
      <c r="A16" s="276" t="s">
        <v>44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8"/>
    </row>
    <row r="17" spans="1:19" s="3" customFormat="1" ht="51">
      <c r="A17" s="140" t="s">
        <v>133</v>
      </c>
      <c r="B17" s="221" t="s">
        <v>298</v>
      </c>
      <c r="C17" s="222">
        <f>C18</f>
        <v>140946.5</v>
      </c>
      <c r="D17" s="16">
        <f t="shared" ref="D17:O17" si="0">D18</f>
        <v>140946.5</v>
      </c>
      <c r="E17" s="16">
        <f t="shared" si="0"/>
        <v>0</v>
      </c>
      <c r="F17" s="16">
        <f t="shared" si="0"/>
        <v>140946.5</v>
      </c>
      <c r="G17" s="16">
        <f t="shared" si="0"/>
        <v>0</v>
      </c>
      <c r="H17" s="16">
        <f t="shared" si="0"/>
        <v>139588.5</v>
      </c>
      <c r="I17" s="16">
        <f t="shared" si="0"/>
        <v>0</v>
      </c>
      <c r="J17" s="16">
        <f t="shared" si="0"/>
        <v>139588.5</v>
      </c>
      <c r="K17" s="16">
        <f t="shared" si="0"/>
        <v>0</v>
      </c>
      <c r="L17" s="16">
        <f t="shared" si="0"/>
        <v>139588.5</v>
      </c>
      <c r="M17" s="16">
        <f t="shared" si="0"/>
        <v>0</v>
      </c>
      <c r="N17" s="16">
        <f t="shared" si="0"/>
        <v>139588.5</v>
      </c>
      <c r="O17" s="16">
        <f t="shared" si="0"/>
        <v>0</v>
      </c>
      <c r="P17" s="23">
        <f>H17/D17</f>
        <v>0.99</v>
      </c>
      <c r="Q17" s="23">
        <f t="shared" ref="Q17:Q38" si="1">L17/D17</f>
        <v>0.99</v>
      </c>
    </row>
    <row r="18" spans="1:19" ht="25.5">
      <c r="A18" s="141" t="s">
        <v>299</v>
      </c>
      <c r="B18" s="223" t="s">
        <v>300</v>
      </c>
      <c r="C18" s="224">
        <f>C19+C20</f>
        <v>140946.5</v>
      </c>
      <c r="D18" s="142">
        <f t="shared" ref="D18:O18" si="2">D19+D20</f>
        <v>140946.5</v>
      </c>
      <c r="E18" s="142">
        <f t="shared" si="2"/>
        <v>0</v>
      </c>
      <c r="F18" s="142">
        <f t="shared" si="2"/>
        <v>140946.5</v>
      </c>
      <c r="G18" s="142">
        <f t="shared" si="2"/>
        <v>0</v>
      </c>
      <c r="H18" s="142">
        <f t="shared" si="2"/>
        <v>139588.5</v>
      </c>
      <c r="I18" s="142">
        <f t="shared" si="2"/>
        <v>0</v>
      </c>
      <c r="J18" s="142">
        <f t="shared" si="2"/>
        <v>139588.5</v>
      </c>
      <c r="K18" s="142">
        <f t="shared" si="2"/>
        <v>0</v>
      </c>
      <c r="L18" s="142">
        <f t="shared" si="2"/>
        <v>139588.5</v>
      </c>
      <c r="M18" s="142">
        <f t="shared" si="2"/>
        <v>0</v>
      </c>
      <c r="N18" s="142">
        <f t="shared" si="2"/>
        <v>139588.5</v>
      </c>
      <c r="O18" s="142">
        <f t="shared" si="2"/>
        <v>0</v>
      </c>
      <c r="P18" s="143">
        <f>H18/D18</f>
        <v>0.99</v>
      </c>
      <c r="Q18" s="143">
        <f t="shared" si="1"/>
        <v>0.99</v>
      </c>
      <c r="S18" s="3"/>
    </row>
    <row r="19" spans="1:19" s="3" customFormat="1" ht="25.5">
      <c r="A19" s="144"/>
      <c r="B19" s="225" t="s">
        <v>301</v>
      </c>
      <c r="C19" s="224">
        <v>140557.29999999999</v>
      </c>
      <c r="D19" s="12">
        <f>E19+F19+G19</f>
        <v>140557.29999999999</v>
      </c>
      <c r="E19" s="12">
        <v>0</v>
      </c>
      <c r="F19" s="12">
        <v>140557.29999999999</v>
      </c>
      <c r="G19" s="12">
        <v>0</v>
      </c>
      <c r="H19" s="12">
        <f t="shared" ref="H19:H20" si="3">I19+J19+K19</f>
        <v>139411.70000000001</v>
      </c>
      <c r="I19" s="12">
        <v>0</v>
      </c>
      <c r="J19" s="12">
        <v>139411.70000000001</v>
      </c>
      <c r="K19" s="12">
        <v>0</v>
      </c>
      <c r="L19" s="12">
        <f t="shared" ref="L19:L20" si="4">M19+N19+O19</f>
        <v>139411.70000000001</v>
      </c>
      <c r="M19" s="12">
        <v>0</v>
      </c>
      <c r="N19" s="12">
        <v>139411.70000000001</v>
      </c>
      <c r="O19" s="12">
        <v>0</v>
      </c>
      <c r="P19" s="24">
        <f t="shared" ref="P19:P20" si="5">H19/D19</f>
        <v>0.99199999999999999</v>
      </c>
      <c r="Q19" s="24">
        <f t="shared" si="1"/>
        <v>0.99199999999999999</v>
      </c>
    </row>
    <row r="20" spans="1:19" ht="25.5">
      <c r="A20" s="144"/>
      <c r="B20" s="225" t="s">
        <v>302</v>
      </c>
      <c r="C20" s="226">
        <v>389.2</v>
      </c>
      <c r="D20" s="12">
        <f t="shared" ref="D20" si="6">E20+F20+G20</f>
        <v>389.2</v>
      </c>
      <c r="E20" s="12">
        <v>0</v>
      </c>
      <c r="F20" s="12">
        <v>389.2</v>
      </c>
      <c r="G20" s="12">
        <v>0</v>
      </c>
      <c r="H20" s="12">
        <f t="shared" si="3"/>
        <v>176.8</v>
      </c>
      <c r="I20" s="12">
        <v>0</v>
      </c>
      <c r="J20" s="12">
        <v>176.8</v>
      </c>
      <c r="K20" s="12">
        <v>0</v>
      </c>
      <c r="L20" s="12">
        <f t="shared" si="4"/>
        <v>176.8</v>
      </c>
      <c r="M20" s="12">
        <v>0</v>
      </c>
      <c r="N20" s="12">
        <v>176.8</v>
      </c>
      <c r="O20" s="12">
        <v>0</v>
      </c>
      <c r="P20" s="24">
        <f t="shared" si="5"/>
        <v>0.45400000000000001</v>
      </c>
      <c r="Q20" s="24">
        <f t="shared" si="1"/>
        <v>0.45400000000000001</v>
      </c>
      <c r="S20" s="3"/>
    </row>
    <row r="21" spans="1:19" ht="38.25">
      <c r="A21" s="140" t="s">
        <v>303</v>
      </c>
      <c r="B21" s="221" t="s">
        <v>304</v>
      </c>
      <c r="C21" s="227">
        <f>C22+C31</f>
        <v>7002.6</v>
      </c>
      <c r="D21" s="17">
        <f>D22+D31</f>
        <v>7002.6</v>
      </c>
      <c r="E21" s="17">
        <f t="shared" ref="E21:O21" si="7">E22+E31</f>
        <v>0</v>
      </c>
      <c r="F21" s="17">
        <f t="shared" si="7"/>
        <v>7002.6</v>
      </c>
      <c r="G21" s="17">
        <f t="shared" si="7"/>
        <v>0</v>
      </c>
      <c r="H21" s="17">
        <f t="shared" si="7"/>
        <v>6578.2</v>
      </c>
      <c r="I21" s="17">
        <f t="shared" si="7"/>
        <v>0</v>
      </c>
      <c r="J21" s="17">
        <f t="shared" si="7"/>
        <v>6578.2</v>
      </c>
      <c r="K21" s="17">
        <f t="shared" si="7"/>
        <v>0</v>
      </c>
      <c r="L21" s="17">
        <f t="shared" si="7"/>
        <v>6578.2</v>
      </c>
      <c r="M21" s="17">
        <f t="shared" si="7"/>
        <v>0</v>
      </c>
      <c r="N21" s="17">
        <f t="shared" si="7"/>
        <v>6578.2</v>
      </c>
      <c r="O21" s="17">
        <f t="shared" si="7"/>
        <v>0</v>
      </c>
      <c r="P21" s="23">
        <f>H21/D21</f>
        <v>0.93899999999999995</v>
      </c>
      <c r="Q21" s="23">
        <f t="shared" si="1"/>
        <v>0.93899999999999995</v>
      </c>
      <c r="S21" s="3"/>
    </row>
    <row r="22" spans="1:19" ht="25.5">
      <c r="A22" s="141" t="s">
        <v>305</v>
      </c>
      <c r="B22" s="228" t="s">
        <v>513</v>
      </c>
      <c r="C22" s="226">
        <f>C23+C24+C25+C26+C27+C28+C29+C30</f>
        <v>6486.7</v>
      </c>
      <c r="D22" s="145">
        <f>D23+D24+D25+D26+D27+D28+D29+D30</f>
        <v>6486.7</v>
      </c>
      <c r="E22" s="145">
        <f t="shared" ref="E22:O22" si="8">E23+E24+E25+E26+E27+E28+E29+E30</f>
        <v>0</v>
      </c>
      <c r="F22" s="145">
        <f t="shared" si="8"/>
        <v>6486.7</v>
      </c>
      <c r="G22" s="145">
        <f t="shared" si="8"/>
        <v>0</v>
      </c>
      <c r="H22" s="145">
        <f t="shared" si="8"/>
        <v>6067.2</v>
      </c>
      <c r="I22" s="145">
        <f t="shared" si="8"/>
        <v>0</v>
      </c>
      <c r="J22" s="145">
        <f t="shared" si="8"/>
        <v>6067.2</v>
      </c>
      <c r="K22" s="145">
        <f t="shared" si="8"/>
        <v>0</v>
      </c>
      <c r="L22" s="145">
        <f t="shared" si="8"/>
        <v>6067.2</v>
      </c>
      <c r="M22" s="145">
        <f t="shared" si="8"/>
        <v>0</v>
      </c>
      <c r="N22" s="145">
        <f t="shared" si="8"/>
        <v>6067.2</v>
      </c>
      <c r="O22" s="145">
        <f t="shared" si="8"/>
        <v>0</v>
      </c>
      <c r="P22" s="143">
        <f>H22/D22</f>
        <v>0.93500000000000005</v>
      </c>
      <c r="Q22" s="143">
        <f t="shared" si="1"/>
        <v>0.93500000000000005</v>
      </c>
      <c r="S22" s="3"/>
    </row>
    <row r="23" spans="1:19">
      <c r="A23" s="146"/>
      <c r="B23" s="225" t="s">
        <v>306</v>
      </c>
      <c r="C23" s="224">
        <v>218.7</v>
      </c>
      <c r="D23" s="12">
        <f t="shared" ref="D23:D30" si="9">E23+F23+G23</f>
        <v>218.7</v>
      </c>
      <c r="E23" s="12">
        <v>0</v>
      </c>
      <c r="F23" s="12">
        <v>218.7</v>
      </c>
      <c r="G23" s="12">
        <v>0</v>
      </c>
      <c r="H23" s="12">
        <f t="shared" ref="H23:H30" si="10">I23+J23+K23</f>
        <v>218.6</v>
      </c>
      <c r="I23" s="12">
        <v>0</v>
      </c>
      <c r="J23" s="12">
        <v>218.6</v>
      </c>
      <c r="K23" s="12">
        <v>0</v>
      </c>
      <c r="L23" s="12">
        <f t="shared" ref="L23:L30" si="11">M23+N23+O23</f>
        <v>218.6</v>
      </c>
      <c r="M23" s="12">
        <v>0</v>
      </c>
      <c r="N23" s="12">
        <v>218.6</v>
      </c>
      <c r="O23" s="12">
        <v>0</v>
      </c>
      <c r="P23" s="24">
        <f t="shared" ref="P23:P30" si="12">H23/D23</f>
        <v>1</v>
      </c>
      <c r="Q23" s="24">
        <f t="shared" si="1"/>
        <v>1</v>
      </c>
      <c r="S23" s="3"/>
    </row>
    <row r="24" spans="1:19" ht="66" customHeight="1">
      <c r="A24" s="146"/>
      <c r="B24" s="225" t="s">
        <v>307</v>
      </c>
      <c r="C24" s="224">
        <v>61.5</v>
      </c>
      <c r="D24" s="12">
        <f t="shared" si="9"/>
        <v>61.5</v>
      </c>
      <c r="E24" s="12">
        <v>0</v>
      </c>
      <c r="F24" s="12">
        <v>61.5</v>
      </c>
      <c r="G24" s="12">
        <v>0</v>
      </c>
      <c r="H24" s="12">
        <f t="shared" si="10"/>
        <v>61.3</v>
      </c>
      <c r="I24" s="12">
        <v>0</v>
      </c>
      <c r="J24" s="12">
        <v>61.3</v>
      </c>
      <c r="K24" s="12">
        <v>0</v>
      </c>
      <c r="L24" s="12">
        <f t="shared" si="11"/>
        <v>61.3</v>
      </c>
      <c r="M24" s="12">
        <v>0</v>
      </c>
      <c r="N24" s="12">
        <v>61.3</v>
      </c>
      <c r="O24" s="12">
        <v>0</v>
      </c>
      <c r="P24" s="24">
        <f t="shared" si="12"/>
        <v>0.997</v>
      </c>
      <c r="Q24" s="24">
        <f t="shared" si="1"/>
        <v>0.997</v>
      </c>
      <c r="S24" s="3"/>
    </row>
    <row r="25" spans="1:19" ht="25.5">
      <c r="A25" s="146"/>
      <c r="B25" s="225" t="s">
        <v>514</v>
      </c>
      <c r="C25" s="224">
        <v>4887.6000000000004</v>
      </c>
      <c r="D25" s="12">
        <f t="shared" si="9"/>
        <v>4887.6000000000004</v>
      </c>
      <c r="E25" s="12">
        <v>0</v>
      </c>
      <c r="F25" s="12">
        <v>4887.6000000000004</v>
      </c>
      <c r="G25" s="12">
        <v>0</v>
      </c>
      <c r="H25" s="12">
        <f t="shared" si="10"/>
        <v>4672.7</v>
      </c>
      <c r="I25" s="12">
        <v>0</v>
      </c>
      <c r="J25" s="12">
        <v>4672.7</v>
      </c>
      <c r="K25" s="12">
        <v>0</v>
      </c>
      <c r="L25" s="12">
        <f t="shared" si="11"/>
        <v>4672.7</v>
      </c>
      <c r="M25" s="12">
        <v>0</v>
      </c>
      <c r="N25" s="12">
        <v>4672.7</v>
      </c>
      <c r="O25" s="12">
        <v>0</v>
      </c>
      <c r="P25" s="24">
        <f t="shared" si="12"/>
        <v>0.95599999999999996</v>
      </c>
      <c r="Q25" s="24">
        <f t="shared" si="1"/>
        <v>0.95599999999999996</v>
      </c>
      <c r="S25" s="3"/>
    </row>
    <row r="26" spans="1:19">
      <c r="A26" s="146"/>
      <c r="B26" s="225" t="s">
        <v>308</v>
      </c>
      <c r="C26" s="224">
        <v>94.2</v>
      </c>
      <c r="D26" s="12">
        <f t="shared" si="9"/>
        <v>94.2</v>
      </c>
      <c r="E26" s="12">
        <v>0</v>
      </c>
      <c r="F26" s="12">
        <v>94.2</v>
      </c>
      <c r="G26" s="12">
        <v>0</v>
      </c>
      <c r="H26" s="12">
        <f t="shared" si="10"/>
        <v>94.2</v>
      </c>
      <c r="I26" s="12">
        <v>0</v>
      </c>
      <c r="J26" s="12">
        <v>94.2</v>
      </c>
      <c r="K26" s="12">
        <v>0</v>
      </c>
      <c r="L26" s="12">
        <f t="shared" si="11"/>
        <v>94.2</v>
      </c>
      <c r="M26" s="12">
        <v>0</v>
      </c>
      <c r="N26" s="12">
        <v>94.2</v>
      </c>
      <c r="O26" s="12">
        <v>0</v>
      </c>
      <c r="P26" s="24">
        <f t="shared" si="12"/>
        <v>1</v>
      </c>
      <c r="Q26" s="24">
        <f t="shared" si="1"/>
        <v>1</v>
      </c>
      <c r="S26" s="3"/>
    </row>
    <row r="27" spans="1:19">
      <c r="A27" s="146"/>
      <c r="B27" s="225" t="s">
        <v>309</v>
      </c>
      <c r="C27" s="224">
        <v>19.100000000000001</v>
      </c>
      <c r="D27" s="12">
        <f t="shared" si="9"/>
        <v>19.100000000000001</v>
      </c>
      <c r="E27" s="12">
        <v>0</v>
      </c>
      <c r="F27" s="12">
        <v>19.100000000000001</v>
      </c>
      <c r="G27" s="12">
        <v>0</v>
      </c>
      <c r="H27" s="12">
        <f t="shared" si="10"/>
        <v>0</v>
      </c>
      <c r="I27" s="12">
        <v>0</v>
      </c>
      <c r="J27" s="12">
        <v>0</v>
      </c>
      <c r="K27" s="12">
        <v>0</v>
      </c>
      <c r="L27" s="12">
        <f t="shared" si="11"/>
        <v>0</v>
      </c>
      <c r="M27" s="12">
        <v>0</v>
      </c>
      <c r="N27" s="12">
        <v>0</v>
      </c>
      <c r="O27" s="12">
        <v>0</v>
      </c>
      <c r="P27" s="24">
        <f t="shared" si="12"/>
        <v>0</v>
      </c>
      <c r="Q27" s="24">
        <f t="shared" si="1"/>
        <v>0</v>
      </c>
      <c r="S27" s="3"/>
    </row>
    <row r="28" spans="1:19">
      <c r="A28" s="146"/>
      <c r="B28" s="225" t="s">
        <v>310</v>
      </c>
      <c r="C28" s="224">
        <v>12.6</v>
      </c>
      <c r="D28" s="12">
        <f t="shared" si="9"/>
        <v>12.6</v>
      </c>
      <c r="E28" s="12">
        <v>0</v>
      </c>
      <c r="F28" s="12">
        <v>12.6</v>
      </c>
      <c r="G28" s="12">
        <v>0</v>
      </c>
      <c r="H28" s="12">
        <f t="shared" si="10"/>
        <v>12.3</v>
      </c>
      <c r="I28" s="12">
        <v>0</v>
      </c>
      <c r="J28" s="12">
        <v>12.3</v>
      </c>
      <c r="K28" s="12">
        <v>0</v>
      </c>
      <c r="L28" s="12">
        <f t="shared" si="11"/>
        <v>12.3</v>
      </c>
      <c r="M28" s="12">
        <v>0</v>
      </c>
      <c r="N28" s="12">
        <v>12.3</v>
      </c>
      <c r="O28" s="12">
        <v>0</v>
      </c>
      <c r="P28" s="24">
        <f t="shared" si="12"/>
        <v>0.97599999999999998</v>
      </c>
      <c r="Q28" s="24">
        <f t="shared" si="1"/>
        <v>0.97599999999999998</v>
      </c>
      <c r="S28" s="3"/>
    </row>
    <row r="29" spans="1:19" ht="25.5">
      <c r="A29" s="146"/>
      <c r="B29" s="225" t="s">
        <v>515</v>
      </c>
      <c r="C29" s="224">
        <v>193</v>
      </c>
      <c r="D29" s="12">
        <f t="shared" si="9"/>
        <v>193</v>
      </c>
      <c r="E29" s="12">
        <v>0</v>
      </c>
      <c r="F29" s="12">
        <v>193</v>
      </c>
      <c r="G29" s="12">
        <v>0</v>
      </c>
      <c r="H29" s="12">
        <f t="shared" si="10"/>
        <v>8.1</v>
      </c>
      <c r="I29" s="12">
        <v>0</v>
      </c>
      <c r="J29" s="12">
        <v>8.1</v>
      </c>
      <c r="K29" s="12">
        <v>0</v>
      </c>
      <c r="L29" s="12">
        <f t="shared" si="11"/>
        <v>8.1</v>
      </c>
      <c r="M29" s="12">
        <v>0</v>
      </c>
      <c r="N29" s="12">
        <v>8.1</v>
      </c>
      <c r="O29" s="12">
        <v>0</v>
      </c>
      <c r="P29" s="24">
        <f t="shared" si="12"/>
        <v>4.2000000000000003E-2</v>
      </c>
      <c r="Q29" s="24">
        <f t="shared" si="1"/>
        <v>4.2000000000000003E-2</v>
      </c>
      <c r="S29" s="3"/>
    </row>
    <row r="30" spans="1:19">
      <c r="A30" s="146"/>
      <c r="B30" s="225" t="s">
        <v>448</v>
      </c>
      <c r="C30" s="224">
        <v>1000</v>
      </c>
      <c r="D30" s="12">
        <f t="shared" si="9"/>
        <v>1000</v>
      </c>
      <c r="E30" s="12">
        <v>0</v>
      </c>
      <c r="F30" s="12">
        <v>1000</v>
      </c>
      <c r="G30" s="12">
        <v>0</v>
      </c>
      <c r="H30" s="12">
        <f t="shared" si="10"/>
        <v>1000</v>
      </c>
      <c r="I30" s="12">
        <v>0</v>
      </c>
      <c r="J30" s="12">
        <v>1000</v>
      </c>
      <c r="K30" s="12">
        <v>0</v>
      </c>
      <c r="L30" s="12">
        <f t="shared" si="11"/>
        <v>1000</v>
      </c>
      <c r="M30" s="12">
        <v>0</v>
      </c>
      <c r="N30" s="12">
        <v>1000</v>
      </c>
      <c r="O30" s="12">
        <v>0</v>
      </c>
      <c r="P30" s="24">
        <f t="shared" si="12"/>
        <v>1</v>
      </c>
      <c r="Q30" s="24">
        <f t="shared" si="1"/>
        <v>1</v>
      </c>
      <c r="S30" s="3"/>
    </row>
    <row r="31" spans="1:19" ht="38.25">
      <c r="A31" s="141" t="s">
        <v>311</v>
      </c>
      <c r="B31" s="229" t="s">
        <v>312</v>
      </c>
      <c r="C31" s="224">
        <f>C32</f>
        <v>515.9</v>
      </c>
      <c r="D31" s="142">
        <f t="shared" ref="D31:O31" si="13">D32</f>
        <v>515.9</v>
      </c>
      <c r="E31" s="142">
        <f t="shared" si="13"/>
        <v>0</v>
      </c>
      <c r="F31" s="142">
        <f t="shared" si="13"/>
        <v>515.9</v>
      </c>
      <c r="G31" s="142">
        <f t="shared" si="13"/>
        <v>0</v>
      </c>
      <c r="H31" s="142">
        <f t="shared" si="13"/>
        <v>511</v>
      </c>
      <c r="I31" s="142">
        <f t="shared" si="13"/>
        <v>0</v>
      </c>
      <c r="J31" s="142">
        <f t="shared" si="13"/>
        <v>511</v>
      </c>
      <c r="K31" s="142">
        <f t="shared" si="13"/>
        <v>0</v>
      </c>
      <c r="L31" s="142">
        <f t="shared" si="13"/>
        <v>511</v>
      </c>
      <c r="M31" s="142">
        <f t="shared" si="13"/>
        <v>0</v>
      </c>
      <c r="N31" s="142">
        <f t="shared" si="13"/>
        <v>511</v>
      </c>
      <c r="O31" s="142">
        <f t="shared" si="13"/>
        <v>0</v>
      </c>
      <c r="P31" s="143">
        <f>H31/D31</f>
        <v>0.99099999999999999</v>
      </c>
      <c r="Q31" s="143">
        <f t="shared" si="1"/>
        <v>0.99099999999999999</v>
      </c>
      <c r="S31" s="3"/>
    </row>
    <row r="32" spans="1:19" ht="51">
      <c r="A32" s="146"/>
      <c r="B32" s="225" t="s">
        <v>313</v>
      </c>
      <c r="C32" s="224">
        <v>515.9</v>
      </c>
      <c r="D32" s="12">
        <f t="shared" ref="D32" si="14">E32+F32+G32</f>
        <v>515.9</v>
      </c>
      <c r="E32" s="12">
        <v>0</v>
      </c>
      <c r="F32" s="12">
        <v>515.9</v>
      </c>
      <c r="G32" s="12">
        <v>0</v>
      </c>
      <c r="H32" s="12">
        <f t="shared" ref="H32" si="15">I32+J32+K32</f>
        <v>511</v>
      </c>
      <c r="I32" s="12">
        <v>0</v>
      </c>
      <c r="J32" s="12">
        <v>511</v>
      </c>
      <c r="K32" s="12">
        <v>0</v>
      </c>
      <c r="L32" s="12">
        <f t="shared" ref="L32" si="16">M32+N32+O32</f>
        <v>511</v>
      </c>
      <c r="M32" s="12">
        <v>0</v>
      </c>
      <c r="N32" s="12">
        <v>511</v>
      </c>
      <c r="O32" s="12">
        <v>0</v>
      </c>
      <c r="P32" s="24">
        <f t="shared" ref="P32" si="17">H32/D32</f>
        <v>0.99099999999999999</v>
      </c>
      <c r="Q32" s="24">
        <f t="shared" si="1"/>
        <v>0.99099999999999999</v>
      </c>
      <c r="S32" s="3"/>
    </row>
    <row r="33" spans="1:19" ht="38.25">
      <c r="A33" s="140" t="s">
        <v>314</v>
      </c>
      <c r="B33" s="230" t="s">
        <v>315</v>
      </c>
      <c r="C33" s="222">
        <f>C34+C35+C36+C37</f>
        <v>4868</v>
      </c>
      <c r="D33" s="16">
        <f t="shared" ref="D33:O33" si="18">D34+D35+D36+D37</f>
        <v>4868</v>
      </c>
      <c r="E33" s="16">
        <f t="shared" si="18"/>
        <v>4649.3999999999996</v>
      </c>
      <c r="F33" s="16">
        <f t="shared" si="18"/>
        <v>218.6</v>
      </c>
      <c r="G33" s="16">
        <f t="shared" si="18"/>
        <v>0</v>
      </c>
      <c r="H33" s="16">
        <f t="shared" si="18"/>
        <v>3768.9</v>
      </c>
      <c r="I33" s="16">
        <f t="shared" si="18"/>
        <v>3588.7</v>
      </c>
      <c r="J33" s="16">
        <f t="shared" si="18"/>
        <v>180.2</v>
      </c>
      <c r="K33" s="16">
        <f t="shared" si="18"/>
        <v>0</v>
      </c>
      <c r="L33" s="16">
        <f t="shared" si="18"/>
        <v>3768.9</v>
      </c>
      <c r="M33" s="16">
        <f t="shared" si="18"/>
        <v>3588.7</v>
      </c>
      <c r="N33" s="16">
        <f t="shared" si="18"/>
        <v>180.2</v>
      </c>
      <c r="O33" s="16">
        <f t="shared" si="18"/>
        <v>0</v>
      </c>
      <c r="P33" s="23">
        <f>H33/D33</f>
        <v>0.77400000000000002</v>
      </c>
      <c r="Q33" s="23">
        <f t="shared" si="1"/>
        <v>0.77400000000000002</v>
      </c>
      <c r="S33" s="3"/>
    </row>
    <row r="34" spans="1:19" ht="51">
      <c r="A34" s="146" t="s">
        <v>316</v>
      </c>
      <c r="B34" s="228" t="s">
        <v>317</v>
      </c>
      <c r="C34" s="224">
        <v>63.9</v>
      </c>
      <c r="D34" s="12">
        <f t="shared" ref="D34:D37" si="19">E34+F34+G34</f>
        <v>63.9</v>
      </c>
      <c r="E34" s="12">
        <v>63.9</v>
      </c>
      <c r="F34" s="12">
        <v>0</v>
      </c>
      <c r="G34" s="12">
        <v>0</v>
      </c>
      <c r="H34" s="12">
        <f t="shared" ref="H34:H37" si="20">I34+J34+K34</f>
        <v>0</v>
      </c>
      <c r="I34" s="12">
        <v>0</v>
      </c>
      <c r="J34" s="12">
        <v>0</v>
      </c>
      <c r="K34" s="12">
        <v>0</v>
      </c>
      <c r="L34" s="12">
        <f t="shared" ref="L34:L37" si="21">M34+N34+O34</f>
        <v>0</v>
      </c>
      <c r="M34" s="12">
        <v>0</v>
      </c>
      <c r="N34" s="12">
        <v>0</v>
      </c>
      <c r="O34" s="12">
        <v>0</v>
      </c>
      <c r="P34" s="24">
        <f t="shared" ref="P34:P37" si="22">H34/D34</f>
        <v>0</v>
      </c>
      <c r="Q34" s="24">
        <f t="shared" si="1"/>
        <v>0</v>
      </c>
      <c r="S34" s="3"/>
    </row>
    <row r="35" spans="1:19" ht="38.25">
      <c r="A35" s="146" t="s">
        <v>318</v>
      </c>
      <c r="B35" s="228" t="s">
        <v>319</v>
      </c>
      <c r="C35" s="224">
        <v>1262</v>
      </c>
      <c r="D35" s="12">
        <f t="shared" si="19"/>
        <v>1262</v>
      </c>
      <c r="E35" s="12">
        <v>1262</v>
      </c>
      <c r="F35" s="12">
        <v>0</v>
      </c>
      <c r="G35" s="12">
        <v>0</v>
      </c>
      <c r="H35" s="12">
        <f t="shared" si="20"/>
        <v>882</v>
      </c>
      <c r="I35" s="12">
        <v>882</v>
      </c>
      <c r="J35" s="12">
        <v>0</v>
      </c>
      <c r="K35" s="12">
        <v>0</v>
      </c>
      <c r="L35" s="12">
        <f t="shared" si="21"/>
        <v>882</v>
      </c>
      <c r="M35" s="12">
        <v>882</v>
      </c>
      <c r="N35" s="12">
        <v>0</v>
      </c>
      <c r="O35" s="12">
        <v>0</v>
      </c>
      <c r="P35" s="24">
        <f t="shared" si="22"/>
        <v>0.69899999999999995</v>
      </c>
      <c r="Q35" s="24">
        <f t="shared" si="1"/>
        <v>0.69899999999999995</v>
      </c>
      <c r="S35" s="3"/>
    </row>
    <row r="36" spans="1:19" ht="63.75">
      <c r="A36" s="146" t="s">
        <v>320</v>
      </c>
      <c r="B36" s="228" t="s">
        <v>321</v>
      </c>
      <c r="C36" s="224">
        <v>612</v>
      </c>
      <c r="D36" s="12">
        <f t="shared" si="19"/>
        <v>612</v>
      </c>
      <c r="E36" s="12">
        <v>612</v>
      </c>
      <c r="F36" s="12">
        <v>0</v>
      </c>
      <c r="G36" s="12">
        <v>0</v>
      </c>
      <c r="H36" s="12">
        <f t="shared" si="20"/>
        <v>0</v>
      </c>
      <c r="I36" s="12">
        <v>0</v>
      </c>
      <c r="J36" s="12">
        <v>0</v>
      </c>
      <c r="K36" s="12">
        <v>0</v>
      </c>
      <c r="L36" s="12">
        <f t="shared" si="21"/>
        <v>0</v>
      </c>
      <c r="M36" s="12">
        <v>0</v>
      </c>
      <c r="N36" s="12">
        <v>0</v>
      </c>
      <c r="O36" s="12">
        <v>0</v>
      </c>
      <c r="P36" s="24">
        <v>0</v>
      </c>
      <c r="Q36" s="24">
        <v>0</v>
      </c>
      <c r="S36" s="3"/>
    </row>
    <row r="37" spans="1:19" ht="51">
      <c r="A37" s="146" t="s">
        <v>322</v>
      </c>
      <c r="B37" s="228" t="s">
        <v>323</v>
      </c>
      <c r="C37" s="224">
        <v>2930.1</v>
      </c>
      <c r="D37" s="12">
        <f t="shared" si="19"/>
        <v>2930.1</v>
      </c>
      <c r="E37" s="231">
        <f>2930.1-218.6</f>
        <v>2711.5</v>
      </c>
      <c r="F37" s="231">
        <v>218.6</v>
      </c>
      <c r="G37" s="12">
        <v>0</v>
      </c>
      <c r="H37" s="12">
        <f t="shared" si="20"/>
        <v>2886.9</v>
      </c>
      <c r="I37" s="12">
        <v>2706.7</v>
      </c>
      <c r="J37" s="12">
        <v>180.2</v>
      </c>
      <c r="K37" s="12">
        <v>0</v>
      </c>
      <c r="L37" s="12">
        <f t="shared" si="21"/>
        <v>2886.9</v>
      </c>
      <c r="M37" s="12">
        <v>2706.7</v>
      </c>
      <c r="N37" s="12">
        <v>180.2</v>
      </c>
      <c r="O37" s="12">
        <v>0</v>
      </c>
      <c r="P37" s="24">
        <f t="shared" si="22"/>
        <v>0.98499999999999999</v>
      </c>
      <c r="Q37" s="24">
        <f t="shared" si="1"/>
        <v>0.98499999999999999</v>
      </c>
      <c r="S37" s="3"/>
    </row>
    <row r="38" spans="1:19" s="19" customFormat="1" ht="13.15" customHeight="1">
      <c r="A38" s="20"/>
      <c r="B38" s="21" t="s">
        <v>36</v>
      </c>
      <c r="C38" s="22">
        <f>C17+C21+C33</f>
        <v>152817.1</v>
      </c>
      <c r="D38" s="22">
        <f t="shared" ref="D38:O38" si="23">D17+D21+D33</f>
        <v>152817.1</v>
      </c>
      <c r="E38" s="22">
        <f t="shared" si="23"/>
        <v>4649.3999999999996</v>
      </c>
      <c r="F38" s="22">
        <f t="shared" si="23"/>
        <v>148167.70000000001</v>
      </c>
      <c r="G38" s="22">
        <f t="shared" si="23"/>
        <v>0</v>
      </c>
      <c r="H38" s="22">
        <f t="shared" si="23"/>
        <v>149935.6</v>
      </c>
      <c r="I38" s="22">
        <f t="shared" si="23"/>
        <v>3588.7</v>
      </c>
      <c r="J38" s="22">
        <f t="shared" si="23"/>
        <v>146346.9</v>
      </c>
      <c r="K38" s="22">
        <f t="shared" si="23"/>
        <v>0</v>
      </c>
      <c r="L38" s="22">
        <f t="shared" si="23"/>
        <v>149935.6</v>
      </c>
      <c r="M38" s="22">
        <f t="shared" si="23"/>
        <v>3588.7</v>
      </c>
      <c r="N38" s="22">
        <f t="shared" si="23"/>
        <v>146346.9</v>
      </c>
      <c r="O38" s="22">
        <f t="shared" si="23"/>
        <v>0</v>
      </c>
      <c r="P38" s="25">
        <f>H38/D38</f>
        <v>0.98099999999999998</v>
      </c>
      <c r="Q38" s="25">
        <f t="shared" si="1"/>
        <v>0.98099999999999998</v>
      </c>
      <c r="S38" s="3"/>
    </row>
    <row r="39" spans="1:19" ht="13.15" customHeight="1">
      <c r="A39" s="276" t="s">
        <v>45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  <c r="S39" s="3"/>
    </row>
    <row r="40" spans="1:19" ht="38.25">
      <c r="A40" s="140" t="s">
        <v>324</v>
      </c>
      <c r="B40" s="230" t="s">
        <v>325</v>
      </c>
      <c r="C40" s="222">
        <f>C41</f>
        <v>14599.2</v>
      </c>
      <c r="D40" s="16">
        <f>D41</f>
        <v>14599.2</v>
      </c>
      <c r="E40" s="16">
        <f>E41</f>
        <v>0</v>
      </c>
      <c r="F40" s="16">
        <f>F41</f>
        <v>14599.2</v>
      </c>
      <c r="G40" s="16">
        <f t="shared" ref="G40:O40" si="24">G41</f>
        <v>0</v>
      </c>
      <c r="H40" s="16">
        <f t="shared" si="24"/>
        <v>14498.4</v>
      </c>
      <c r="I40" s="16">
        <f t="shared" si="24"/>
        <v>0</v>
      </c>
      <c r="J40" s="16">
        <f t="shared" si="24"/>
        <v>14498.4</v>
      </c>
      <c r="K40" s="16">
        <f t="shared" si="24"/>
        <v>0</v>
      </c>
      <c r="L40" s="16">
        <f t="shared" si="24"/>
        <v>14498.4</v>
      </c>
      <c r="M40" s="16">
        <f t="shared" si="24"/>
        <v>0</v>
      </c>
      <c r="N40" s="16">
        <f t="shared" si="24"/>
        <v>14498.4</v>
      </c>
      <c r="O40" s="16">
        <f t="shared" si="24"/>
        <v>0</v>
      </c>
      <c r="P40" s="198">
        <f>H40/D40</f>
        <v>0.99299999999999999</v>
      </c>
      <c r="Q40" s="198">
        <f t="shared" ref="Q40:Q52" si="25">L40/D40</f>
        <v>0.99299999999999999</v>
      </c>
      <c r="S40" s="3"/>
    </row>
    <row r="41" spans="1:19" ht="25.5">
      <c r="A41" s="141" t="s">
        <v>326</v>
      </c>
      <c r="B41" s="223" t="s">
        <v>516</v>
      </c>
      <c r="C41" s="224">
        <f>C42+C43+C44+C45</f>
        <v>14599.2</v>
      </c>
      <c r="D41" s="142">
        <f>D42+D43+D44+D45</f>
        <v>14599.2</v>
      </c>
      <c r="E41" s="142">
        <f t="shared" ref="E41:O41" si="26">E42+E43+E44+E45</f>
        <v>0</v>
      </c>
      <c r="F41" s="142">
        <f t="shared" si="26"/>
        <v>14599.2</v>
      </c>
      <c r="G41" s="142">
        <f t="shared" si="26"/>
        <v>0</v>
      </c>
      <c r="H41" s="142">
        <f t="shared" si="26"/>
        <v>14498.4</v>
      </c>
      <c r="I41" s="142">
        <f t="shared" si="26"/>
        <v>0</v>
      </c>
      <c r="J41" s="142">
        <f t="shared" si="26"/>
        <v>14498.4</v>
      </c>
      <c r="K41" s="142">
        <f t="shared" si="26"/>
        <v>0</v>
      </c>
      <c r="L41" s="142">
        <f t="shared" si="26"/>
        <v>14498.4</v>
      </c>
      <c r="M41" s="142">
        <f t="shared" si="26"/>
        <v>0</v>
      </c>
      <c r="N41" s="142">
        <f t="shared" si="26"/>
        <v>14498.4</v>
      </c>
      <c r="O41" s="142">
        <f t="shared" si="26"/>
        <v>0</v>
      </c>
      <c r="P41" s="143">
        <f>H41/D41</f>
        <v>0.99299999999999999</v>
      </c>
      <c r="Q41" s="143">
        <f t="shared" si="25"/>
        <v>0.99299999999999999</v>
      </c>
      <c r="S41" s="3"/>
    </row>
    <row r="42" spans="1:19" ht="38.25">
      <c r="A42" s="214"/>
      <c r="B42" s="225" t="s">
        <v>327</v>
      </c>
      <c r="C42" s="224">
        <v>1120.2</v>
      </c>
      <c r="D42" s="12">
        <f t="shared" ref="D42:D45" si="27">E42+F42+G42</f>
        <v>1120.2</v>
      </c>
      <c r="E42" s="12">
        <v>0</v>
      </c>
      <c r="F42" s="12">
        <v>1120.2</v>
      </c>
      <c r="G42" s="12">
        <v>0</v>
      </c>
      <c r="H42" s="12">
        <f t="shared" ref="H42:H45" si="28">I42+J42+K42</f>
        <v>1092.2</v>
      </c>
      <c r="I42" s="12">
        <v>0</v>
      </c>
      <c r="J42" s="12">
        <v>1092.2</v>
      </c>
      <c r="K42" s="12">
        <v>0</v>
      </c>
      <c r="L42" s="12">
        <f t="shared" ref="L42:L45" si="29">M42+N42+O42</f>
        <v>1092.2</v>
      </c>
      <c r="M42" s="12">
        <v>0</v>
      </c>
      <c r="N42" s="12">
        <v>1092.2</v>
      </c>
      <c r="O42" s="12">
        <v>0</v>
      </c>
      <c r="P42" s="24">
        <f t="shared" ref="P42:P46" si="30">H42/D42</f>
        <v>0.97499999999999998</v>
      </c>
      <c r="Q42" s="24">
        <f t="shared" si="25"/>
        <v>0.97499999999999998</v>
      </c>
      <c r="S42" s="3"/>
    </row>
    <row r="43" spans="1:19" ht="25.5">
      <c r="A43" s="214"/>
      <c r="B43" s="225" t="s">
        <v>328</v>
      </c>
      <c r="C43" s="224">
        <v>2270.9</v>
      </c>
      <c r="D43" s="12">
        <f t="shared" si="27"/>
        <v>2270.9</v>
      </c>
      <c r="E43" s="12">
        <v>0</v>
      </c>
      <c r="F43" s="12">
        <v>2270.9</v>
      </c>
      <c r="G43" s="12">
        <v>0</v>
      </c>
      <c r="H43" s="12">
        <f t="shared" si="28"/>
        <v>2256</v>
      </c>
      <c r="I43" s="12">
        <v>0</v>
      </c>
      <c r="J43" s="12">
        <v>2256</v>
      </c>
      <c r="K43" s="12">
        <v>0</v>
      </c>
      <c r="L43" s="12">
        <f t="shared" si="29"/>
        <v>2256</v>
      </c>
      <c r="M43" s="12">
        <v>0</v>
      </c>
      <c r="N43" s="12">
        <v>2256</v>
      </c>
      <c r="O43" s="12">
        <v>0</v>
      </c>
      <c r="P43" s="24">
        <f t="shared" si="30"/>
        <v>0.99299999999999999</v>
      </c>
      <c r="Q43" s="24">
        <f t="shared" si="25"/>
        <v>0.99299999999999999</v>
      </c>
      <c r="S43" s="3"/>
    </row>
    <row r="44" spans="1:19" ht="38.25">
      <c r="A44" s="214"/>
      <c r="B44" s="225" t="s">
        <v>329</v>
      </c>
      <c r="C44" s="224">
        <v>9069.6</v>
      </c>
      <c r="D44" s="12">
        <f t="shared" si="27"/>
        <v>9069.6</v>
      </c>
      <c r="E44" s="12">
        <v>0</v>
      </c>
      <c r="F44" s="12">
        <v>9069.6</v>
      </c>
      <c r="G44" s="12">
        <v>0</v>
      </c>
      <c r="H44" s="12">
        <f t="shared" si="28"/>
        <v>9011.7000000000007</v>
      </c>
      <c r="I44" s="12">
        <v>0</v>
      </c>
      <c r="J44" s="12">
        <v>9011.7000000000007</v>
      </c>
      <c r="K44" s="12">
        <v>0</v>
      </c>
      <c r="L44" s="12">
        <f t="shared" si="29"/>
        <v>9011.7000000000007</v>
      </c>
      <c r="M44" s="12">
        <v>0</v>
      </c>
      <c r="N44" s="12">
        <v>9011.7000000000007</v>
      </c>
      <c r="O44" s="12">
        <v>0</v>
      </c>
      <c r="P44" s="24">
        <f t="shared" si="30"/>
        <v>0.99399999999999999</v>
      </c>
      <c r="Q44" s="24">
        <f t="shared" si="25"/>
        <v>0.99399999999999999</v>
      </c>
      <c r="S44" s="3"/>
    </row>
    <row r="45" spans="1:19" ht="38.25">
      <c r="A45" s="214"/>
      <c r="B45" s="225" t="s">
        <v>330</v>
      </c>
      <c r="C45" s="224">
        <v>2138.5</v>
      </c>
      <c r="D45" s="12">
        <f t="shared" si="27"/>
        <v>2138.5</v>
      </c>
      <c r="E45" s="12">
        <v>0</v>
      </c>
      <c r="F45" s="12">
        <v>2138.5</v>
      </c>
      <c r="G45" s="12">
        <v>0</v>
      </c>
      <c r="H45" s="12">
        <f t="shared" si="28"/>
        <v>2138.5</v>
      </c>
      <c r="I45" s="12">
        <v>0</v>
      </c>
      <c r="J45" s="12">
        <v>2138.5</v>
      </c>
      <c r="K45" s="12">
        <v>0</v>
      </c>
      <c r="L45" s="12">
        <f t="shared" si="29"/>
        <v>2138.5</v>
      </c>
      <c r="M45" s="12">
        <v>0</v>
      </c>
      <c r="N45" s="12">
        <v>2138.5</v>
      </c>
      <c r="O45" s="12">
        <v>0</v>
      </c>
      <c r="P45" s="24">
        <f t="shared" si="30"/>
        <v>1</v>
      </c>
      <c r="Q45" s="24">
        <f t="shared" si="25"/>
        <v>1</v>
      </c>
      <c r="S45" s="3"/>
    </row>
    <row r="46" spans="1:19" ht="66" customHeight="1">
      <c r="A46" s="140" t="s">
        <v>334</v>
      </c>
      <c r="B46" s="232" t="s">
        <v>335</v>
      </c>
      <c r="C46" s="222">
        <f>C47</f>
        <v>1442.3</v>
      </c>
      <c r="D46" s="16">
        <f t="shared" ref="D46:O46" si="31">D47</f>
        <v>1442.3</v>
      </c>
      <c r="E46" s="16">
        <f t="shared" si="31"/>
        <v>0</v>
      </c>
      <c r="F46" s="16">
        <f t="shared" si="31"/>
        <v>1442.3</v>
      </c>
      <c r="G46" s="16">
        <f t="shared" si="31"/>
        <v>0</v>
      </c>
      <c r="H46" s="16">
        <f t="shared" si="31"/>
        <v>1197</v>
      </c>
      <c r="I46" s="16">
        <f t="shared" si="31"/>
        <v>0</v>
      </c>
      <c r="J46" s="16">
        <f t="shared" si="31"/>
        <v>1197</v>
      </c>
      <c r="K46" s="16">
        <f t="shared" si="31"/>
        <v>0</v>
      </c>
      <c r="L46" s="16">
        <f t="shared" si="31"/>
        <v>1197</v>
      </c>
      <c r="M46" s="16">
        <f t="shared" si="31"/>
        <v>0</v>
      </c>
      <c r="N46" s="16">
        <f t="shared" si="31"/>
        <v>1197</v>
      </c>
      <c r="O46" s="16">
        <f t="shared" si="31"/>
        <v>0</v>
      </c>
      <c r="P46" s="23">
        <f t="shared" si="30"/>
        <v>0.83</v>
      </c>
      <c r="Q46" s="23">
        <f t="shared" si="25"/>
        <v>0.83</v>
      </c>
      <c r="S46" s="3"/>
    </row>
    <row r="47" spans="1:19">
      <c r="A47" s="141" t="s">
        <v>336</v>
      </c>
      <c r="B47" s="223" t="s">
        <v>337</v>
      </c>
      <c r="C47" s="224">
        <f>C48+C49+C50+C51+C52+C53+C54</f>
        <v>1442.3</v>
      </c>
      <c r="D47" s="142">
        <f t="shared" ref="D47:O47" si="32">D48+D49+D50+D51+D52+D53+D54</f>
        <v>1442.3</v>
      </c>
      <c r="E47" s="142">
        <f t="shared" si="32"/>
        <v>0</v>
      </c>
      <c r="F47" s="142">
        <f t="shared" si="32"/>
        <v>1442.3</v>
      </c>
      <c r="G47" s="142">
        <f t="shared" si="32"/>
        <v>0</v>
      </c>
      <c r="H47" s="142">
        <f t="shared" si="32"/>
        <v>1197</v>
      </c>
      <c r="I47" s="142">
        <f t="shared" si="32"/>
        <v>0</v>
      </c>
      <c r="J47" s="142">
        <f t="shared" si="32"/>
        <v>1197</v>
      </c>
      <c r="K47" s="142">
        <f t="shared" si="32"/>
        <v>0</v>
      </c>
      <c r="L47" s="142">
        <f t="shared" si="32"/>
        <v>1197</v>
      </c>
      <c r="M47" s="142">
        <f t="shared" si="32"/>
        <v>0</v>
      </c>
      <c r="N47" s="142">
        <f t="shared" si="32"/>
        <v>1197</v>
      </c>
      <c r="O47" s="142">
        <f t="shared" si="32"/>
        <v>0</v>
      </c>
      <c r="P47" s="143">
        <f>H47/D47</f>
        <v>0.83</v>
      </c>
      <c r="Q47" s="143">
        <f t="shared" si="25"/>
        <v>0.83</v>
      </c>
      <c r="S47" s="3"/>
    </row>
    <row r="48" spans="1:19" ht="66" customHeight="1">
      <c r="A48" s="214"/>
      <c r="B48" s="225" t="s">
        <v>338</v>
      </c>
      <c r="C48" s="224">
        <v>180</v>
      </c>
      <c r="D48" s="12">
        <f t="shared" ref="D48:D54" si="33">E48+F48+G48</f>
        <v>180</v>
      </c>
      <c r="E48" s="12">
        <v>0</v>
      </c>
      <c r="F48" s="12">
        <v>180</v>
      </c>
      <c r="G48" s="12">
        <v>0</v>
      </c>
      <c r="H48" s="12">
        <f t="shared" ref="H48:H54" si="34">I48+J48+K48</f>
        <v>180</v>
      </c>
      <c r="I48" s="12">
        <v>0</v>
      </c>
      <c r="J48" s="12">
        <v>180</v>
      </c>
      <c r="K48" s="12">
        <v>0</v>
      </c>
      <c r="L48" s="12">
        <f t="shared" ref="L48:L54" si="35">M48+N48+O48</f>
        <v>180</v>
      </c>
      <c r="M48" s="12">
        <v>0</v>
      </c>
      <c r="N48" s="12">
        <v>180</v>
      </c>
      <c r="O48" s="12">
        <v>0</v>
      </c>
      <c r="P48" s="24">
        <f t="shared" ref="P48:P51" si="36">H48/D48</f>
        <v>1</v>
      </c>
      <c r="Q48" s="24">
        <f t="shared" si="25"/>
        <v>1</v>
      </c>
      <c r="S48" s="3"/>
    </row>
    <row r="49" spans="1:19" ht="38.25">
      <c r="A49" s="214"/>
      <c r="B49" s="225" t="s">
        <v>339</v>
      </c>
      <c r="C49" s="224">
        <v>400.1</v>
      </c>
      <c r="D49" s="12">
        <f>F49</f>
        <v>400.1</v>
      </c>
      <c r="E49" s="12">
        <v>0</v>
      </c>
      <c r="F49" s="12">
        <v>400.1</v>
      </c>
      <c r="G49" s="12">
        <v>0</v>
      </c>
      <c r="H49" s="12">
        <f t="shared" si="34"/>
        <v>398.1</v>
      </c>
      <c r="I49" s="12">
        <v>0</v>
      </c>
      <c r="J49" s="12">
        <v>398.1</v>
      </c>
      <c r="K49" s="12">
        <v>0</v>
      </c>
      <c r="L49" s="12">
        <f t="shared" si="35"/>
        <v>398.1</v>
      </c>
      <c r="M49" s="12">
        <v>0</v>
      </c>
      <c r="N49" s="12">
        <v>398.1</v>
      </c>
      <c r="O49" s="12">
        <v>0</v>
      </c>
      <c r="P49" s="24">
        <f t="shared" si="36"/>
        <v>0.995</v>
      </c>
      <c r="Q49" s="24">
        <f t="shared" si="25"/>
        <v>0.995</v>
      </c>
      <c r="S49" s="3"/>
    </row>
    <row r="50" spans="1:19">
      <c r="A50" s="214"/>
      <c r="B50" s="225" t="s">
        <v>340</v>
      </c>
      <c r="C50" s="224">
        <v>42.2</v>
      </c>
      <c r="D50" s="12">
        <f t="shared" si="33"/>
        <v>42.2</v>
      </c>
      <c r="E50" s="12">
        <v>0</v>
      </c>
      <c r="F50" s="12">
        <v>42.2</v>
      </c>
      <c r="G50" s="12">
        <v>0</v>
      </c>
      <c r="H50" s="12">
        <f t="shared" si="34"/>
        <v>42.2</v>
      </c>
      <c r="I50" s="12">
        <v>0</v>
      </c>
      <c r="J50" s="12">
        <v>42.2</v>
      </c>
      <c r="K50" s="12">
        <v>0</v>
      </c>
      <c r="L50" s="12">
        <f t="shared" si="35"/>
        <v>42.2</v>
      </c>
      <c r="M50" s="12">
        <v>0</v>
      </c>
      <c r="N50" s="12">
        <v>42.2</v>
      </c>
      <c r="O50" s="12">
        <v>0</v>
      </c>
      <c r="P50" s="24">
        <f t="shared" si="36"/>
        <v>1</v>
      </c>
      <c r="Q50" s="24">
        <f t="shared" si="25"/>
        <v>1</v>
      </c>
      <c r="S50" s="3"/>
    </row>
    <row r="51" spans="1:19">
      <c r="A51" s="214"/>
      <c r="B51" s="225" t="s">
        <v>341</v>
      </c>
      <c r="C51" s="224">
        <v>292.5</v>
      </c>
      <c r="D51" s="12">
        <f t="shared" si="33"/>
        <v>292.5</v>
      </c>
      <c r="E51" s="12">
        <v>0</v>
      </c>
      <c r="F51" s="12">
        <v>292.5</v>
      </c>
      <c r="G51" s="12">
        <v>0</v>
      </c>
      <c r="H51" s="12">
        <f t="shared" si="34"/>
        <v>292.5</v>
      </c>
      <c r="I51" s="12">
        <v>0</v>
      </c>
      <c r="J51" s="12">
        <v>292.5</v>
      </c>
      <c r="K51" s="12">
        <v>0</v>
      </c>
      <c r="L51" s="12">
        <f t="shared" si="35"/>
        <v>292.5</v>
      </c>
      <c r="M51" s="12">
        <v>0</v>
      </c>
      <c r="N51" s="12">
        <v>292.5</v>
      </c>
      <c r="O51" s="12">
        <v>0</v>
      </c>
      <c r="P51" s="24">
        <f t="shared" si="36"/>
        <v>1</v>
      </c>
      <c r="Q51" s="24">
        <f t="shared" si="25"/>
        <v>1</v>
      </c>
      <c r="S51" s="3"/>
    </row>
    <row r="52" spans="1:19" ht="38.25">
      <c r="A52" s="214"/>
      <c r="B52" s="225" t="s">
        <v>342</v>
      </c>
      <c r="C52" s="224">
        <v>307.5</v>
      </c>
      <c r="D52" s="12">
        <f t="shared" si="33"/>
        <v>307.5</v>
      </c>
      <c r="E52" s="12">
        <v>0</v>
      </c>
      <c r="F52" s="12">
        <v>307.5</v>
      </c>
      <c r="G52" s="12">
        <v>0</v>
      </c>
      <c r="H52" s="12">
        <f t="shared" si="34"/>
        <v>284.2</v>
      </c>
      <c r="I52" s="12">
        <v>0</v>
      </c>
      <c r="J52" s="12">
        <v>284.2</v>
      </c>
      <c r="K52" s="12">
        <v>0</v>
      </c>
      <c r="L52" s="12">
        <f t="shared" si="35"/>
        <v>284.2</v>
      </c>
      <c r="M52" s="12">
        <v>0</v>
      </c>
      <c r="N52" s="12">
        <v>284.2</v>
      </c>
      <c r="O52" s="12">
        <v>0</v>
      </c>
      <c r="P52" s="24">
        <f>H52/D52</f>
        <v>0.92400000000000004</v>
      </c>
      <c r="Q52" s="24">
        <f t="shared" si="25"/>
        <v>0.92400000000000004</v>
      </c>
      <c r="S52" s="3"/>
    </row>
    <row r="53" spans="1:19" ht="25.5">
      <c r="A53" s="214"/>
      <c r="B53" s="225" t="s">
        <v>343</v>
      </c>
      <c r="C53" s="224">
        <v>80</v>
      </c>
      <c r="D53" s="12">
        <f t="shared" si="33"/>
        <v>80</v>
      </c>
      <c r="E53" s="12">
        <v>0</v>
      </c>
      <c r="F53" s="12">
        <v>80</v>
      </c>
      <c r="G53" s="12">
        <v>0</v>
      </c>
      <c r="H53" s="12">
        <f t="shared" si="34"/>
        <v>0</v>
      </c>
      <c r="I53" s="12">
        <v>0</v>
      </c>
      <c r="J53" s="12">
        <v>0</v>
      </c>
      <c r="K53" s="12">
        <v>0</v>
      </c>
      <c r="L53" s="12">
        <f t="shared" si="35"/>
        <v>0</v>
      </c>
      <c r="M53" s="12">
        <v>0</v>
      </c>
      <c r="N53" s="12">
        <v>0</v>
      </c>
      <c r="O53" s="12">
        <v>0</v>
      </c>
      <c r="P53" s="24">
        <v>0</v>
      </c>
      <c r="Q53" s="24">
        <v>0</v>
      </c>
      <c r="S53" s="3"/>
    </row>
    <row r="54" spans="1:19" ht="25.5">
      <c r="A54" s="214"/>
      <c r="B54" s="225" t="s">
        <v>344</v>
      </c>
      <c r="C54" s="224">
        <v>140</v>
      </c>
      <c r="D54" s="12">
        <f t="shared" si="33"/>
        <v>140</v>
      </c>
      <c r="E54" s="12">
        <v>0</v>
      </c>
      <c r="F54" s="12">
        <v>140</v>
      </c>
      <c r="G54" s="12">
        <v>0</v>
      </c>
      <c r="H54" s="12">
        <f t="shared" si="34"/>
        <v>0</v>
      </c>
      <c r="I54" s="12">
        <v>0</v>
      </c>
      <c r="J54" s="12">
        <v>0</v>
      </c>
      <c r="K54" s="12">
        <v>0</v>
      </c>
      <c r="L54" s="12">
        <f t="shared" si="35"/>
        <v>0</v>
      </c>
      <c r="M54" s="12">
        <v>0</v>
      </c>
      <c r="N54" s="12">
        <v>0</v>
      </c>
      <c r="O54" s="12">
        <v>0</v>
      </c>
      <c r="P54" s="24">
        <v>0</v>
      </c>
      <c r="Q54" s="24">
        <v>0</v>
      </c>
      <c r="S54" s="3"/>
    </row>
    <row r="55" spans="1:19" ht="51">
      <c r="A55" s="140" t="s">
        <v>449</v>
      </c>
      <c r="B55" s="232" t="s">
        <v>517</v>
      </c>
      <c r="C55" s="222">
        <f>C56</f>
        <v>106022.7</v>
      </c>
      <c r="D55" s="16">
        <f t="shared" ref="D55:O55" si="37">D56</f>
        <v>106022.7</v>
      </c>
      <c r="E55" s="16">
        <f t="shared" si="37"/>
        <v>0</v>
      </c>
      <c r="F55" s="16">
        <f t="shared" si="37"/>
        <v>106022.7</v>
      </c>
      <c r="G55" s="16">
        <f t="shared" si="37"/>
        <v>0</v>
      </c>
      <c r="H55" s="16">
        <f t="shared" si="37"/>
        <v>105260.9</v>
      </c>
      <c r="I55" s="16">
        <f t="shared" si="37"/>
        <v>0</v>
      </c>
      <c r="J55" s="16">
        <f t="shared" si="37"/>
        <v>105260.9</v>
      </c>
      <c r="K55" s="16">
        <f t="shared" si="37"/>
        <v>0</v>
      </c>
      <c r="L55" s="16">
        <f t="shared" si="37"/>
        <v>105260.9</v>
      </c>
      <c r="M55" s="16">
        <f t="shared" si="37"/>
        <v>0</v>
      </c>
      <c r="N55" s="16">
        <f t="shared" si="37"/>
        <v>105260.9</v>
      </c>
      <c r="O55" s="16">
        <f t="shared" si="37"/>
        <v>0</v>
      </c>
      <c r="P55" s="23">
        <f t="shared" ref="P55" si="38">H55/D55</f>
        <v>0.99299999999999999</v>
      </c>
      <c r="Q55" s="23">
        <f t="shared" ref="Q55:Q61" si="39">L55/D55</f>
        <v>0.99299999999999999</v>
      </c>
      <c r="S55" s="3"/>
    </row>
    <row r="56" spans="1:19" ht="25.5">
      <c r="A56" s="199" t="s">
        <v>450</v>
      </c>
      <c r="B56" s="223" t="s">
        <v>451</v>
      </c>
      <c r="C56" s="224">
        <f>C57+C58</f>
        <v>106022.7</v>
      </c>
      <c r="D56" s="142">
        <f t="shared" ref="D56:O56" si="40">D57+D58</f>
        <v>106022.7</v>
      </c>
      <c r="E56" s="142">
        <f t="shared" si="40"/>
        <v>0</v>
      </c>
      <c r="F56" s="142">
        <f t="shared" si="40"/>
        <v>106022.7</v>
      </c>
      <c r="G56" s="142">
        <f t="shared" si="40"/>
        <v>0</v>
      </c>
      <c r="H56" s="142">
        <f t="shared" si="40"/>
        <v>105260.9</v>
      </c>
      <c r="I56" s="142">
        <f t="shared" si="40"/>
        <v>0</v>
      </c>
      <c r="J56" s="142">
        <f t="shared" si="40"/>
        <v>105260.9</v>
      </c>
      <c r="K56" s="142">
        <f t="shared" si="40"/>
        <v>0</v>
      </c>
      <c r="L56" s="142">
        <f t="shared" si="40"/>
        <v>105260.9</v>
      </c>
      <c r="M56" s="142">
        <f t="shared" si="40"/>
        <v>0</v>
      </c>
      <c r="N56" s="142">
        <f t="shared" si="40"/>
        <v>105260.9</v>
      </c>
      <c r="O56" s="142">
        <f t="shared" si="40"/>
        <v>0</v>
      </c>
      <c r="P56" s="143">
        <f>H56/D56</f>
        <v>0.99299999999999999</v>
      </c>
      <c r="Q56" s="143">
        <f t="shared" si="39"/>
        <v>0.99299999999999999</v>
      </c>
      <c r="S56" s="3"/>
    </row>
    <row r="57" spans="1:19" ht="25.5">
      <c r="A57" s="283" t="s">
        <v>452</v>
      </c>
      <c r="B57" s="225" t="s">
        <v>332</v>
      </c>
      <c r="C57" s="224">
        <v>105722.1</v>
      </c>
      <c r="D57" s="12">
        <f t="shared" ref="D57:D58" si="41">E57+F57+G57</f>
        <v>105722.1</v>
      </c>
      <c r="E57" s="12">
        <v>0</v>
      </c>
      <c r="F57" s="12">
        <v>105722.1</v>
      </c>
      <c r="G57" s="12">
        <v>0</v>
      </c>
      <c r="H57" s="12">
        <f t="shared" ref="H57:H58" si="42">I57+J57+K57</f>
        <v>104960.3</v>
      </c>
      <c r="I57" s="12">
        <v>0</v>
      </c>
      <c r="J57" s="12">
        <v>104960.3</v>
      </c>
      <c r="K57" s="12">
        <v>0</v>
      </c>
      <c r="L57" s="12">
        <f t="shared" ref="L57:L58" si="43">M57+N57+O57</f>
        <v>104960.3</v>
      </c>
      <c r="M57" s="12">
        <v>0</v>
      </c>
      <c r="N57" s="12">
        <v>104960.3</v>
      </c>
      <c r="O57" s="12">
        <v>0</v>
      </c>
      <c r="P57" s="24">
        <f t="shared" ref="P57:P60" si="44">H57/D57</f>
        <v>0.99299999999999999</v>
      </c>
      <c r="Q57" s="24">
        <f t="shared" si="39"/>
        <v>0.99299999999999999</v>
      </c>
      <c r="S57" s="3"/>
    </row>
    <row r="58" spans="1:19" ht="13.15" customHeight="1">
      <c r="A58" s="284"/>
      <c r="B58" s="225" t="s">
        <v>333</v>
      </c>
      <c r="C58" s="224">
        <v>300.60000000000002</v>
      </c>
      <c r="D58" s="12">
        <f t="shared" si="41"/>
        <v>300.60000000000002</v>
      </c>
      <c r="E58" s="12">
        <v>0</v>
      </c>
      <c r="F58" s="12">
        <v>300.60000000000002</v>
      </c>
      <c r="G58" s="12">
        <v>0</v>
      </c>
      <c r="H58" s="12">
        <f t="shared" si="42"/>
        <v>300.60000000000002</v>
      </c>
      <c r="I58" s="12">
        <v>0</v>
      </c>
      <c r="J58" s="12">
        <v>300.60000000000002</v>
      </c>
      <c r="K58" s="12">
        <v>0</v>
      </c>
      <c r="L58" s="12">
        <f t="shared" si="43"/>
        <v>300.60000000000002</v>
      </c>
      <c r="M58" s="12">
        <v>0</v>
      </c>
      <c r="N58" s="12">
        <v>300.60000000000002</v>
      </c>
      <c r="O58" s="12">
        <v>0</v>
      </c>
      <c r="P58" s="24">
        <f t="shared" si="44"/>
        <v>1</v>
      </c>
      <c r="Q58" s="24">
        <f t="shared" si="39"/>
        <v>1</v>
      </c>
      <c r="S58" s="3"/>
    </row>
    <row r="59" spans="1:19" ht="25.5">
      <c r="A59" s="140" t="s">
        <v>518</v>
      </c>
      <c r="B59" s="232" t="s">
        <v>519</v>
      </c>
      <c r="C59" s="222">
        <f>C60</f>
        <v>546</v>
      </c>
      <c r="D59" s="16">
        <f t="shared" ref="D59:O59" si="45">D60</f>
        <v>546</v>
      </c>
      <c r="E59" s="16">
        <f t="shared" si="45"/>
        <v>0</v>
      </c>
      <c r="F59" s="16">
        <f t="shared" si="45"/>
        <v>546</v>
      </c>
      <c r="G59" s="16">
        <f t="shared" si="45"/>
        <v>0</v>
      </c>
      <c r="H59" s="16">
        <f t="shared" si="45"/>
        <v>546</v>
      </c>
      <c r="I59" s="16">
        <f t="shared" si="45"/>
        <v>0</v>
      </c>
      <c r="J59" s="16">
        <f t="shared" si="45"/>
        <v>546</v>
      </c>
      <c r="K59" s="16">
        <f t="shared" si="45"/>
        <v>0</v>
      </c>
      <c r="L59" s="16">
        <f t="shared" si="45"/>
        <v>546</v>
      </c>
      <c r="M59" s="16">
        <f t="shared" si="45"/>
        <v>0</v>
      </c>
      <c r="N59" s="16">
        <f t="shared" si="45"/>
        <v>546</v>
      </c>
      <c r="O59" s="16">
        <f t="shared" si="45"/>
        <v>0</v>
      </c>
      <c r="P59" s="23">
        <f t="shared" si="44"/>
        <v>1</v>
      </c>
      <c r="Q59" s="23">
        <f t="shared" si="39"/>
        <v>1</v>
      </c>
      <c r="S59" s="3"/>
    </row>
    <row r="60" spans="1:19" ht="13.15" customHeight="1">
      <c r="A60" s="233" t="s">
        <v>520</v>
      </c>
      <c r="B60" s="229" t="s">
        <v>521</v>
      </c>
      <c r="C60" s="224">
        <v>546</v>
      </c>
      <c r="D60" s="12">
        <f t="shared" ref="D60" si="46">E60+F60+G60</f>
        <v>546</v>
      </c>
      <c r="E60" s="12">
        <v>0</v>
      </c>
      <c r="F60" s="12">
        <v>546</v>
      </c>
      <c r="G60" s="12">
        <v>0</v>
      </c>
      <c r="H60" s="12">
        <f t="shared" ref="H60" si="47">I60+J60+K60</f>
        <v>546</v>
      </c>
      <c r="I60" s="12">
        <v>0</v>
      </c>
      <c r="J60" s="12">
        <v>546</v>
      </c>
      <c r="K60" s="12">
        <v>0</v>
      </c>
      <c r="L60" s="12">
        <f t="shared" ref="L60" si="48">M60+N60+O60</f>
        <v>546</v>
      </c>
      <c r="M60" s="12">
        <v>0</v>
      </c>
      <c r="N60" s="12">
        <v>546</v>
      </c>
      <c r="O60" s="12">
        <v>0</v>
      </c>
      <c r="P60" s="24">
        <f t="shared" si="44"/>
        <v>1</v>
      </c>
      <c r="Q60" s="24">
        <f t="shared" si="39"/>
        <v>1</v>
      </c>
      <c r="S60" s="3"/>
    </row>
    <row r="61" spans="1:19" s="19" customFormat="1">
      <c r="A61" s="20"/>
      <c r="B61" s="21" t="s">
        <v>37</v>
      </c>
      <c r="C61" s="22">
        <f>C40+C46+C55+C59</f>
        <v>122610.2</v>
      </c>
      <c r="D61" s="22">
        <f t="shared" ref="D61:O61" si="49">D40+D46+D55+D59</f>
        <v>122610.2</v>
      </c>
      <c r="E61" s="22">
        <f t="shared" si="49"/>
        <v>0</v>
      </c>
      <c r="F61" s="22">
        <f t="shared" si="49"/>
        <v>122610.2</v>
      </c>
      <c r="G61" s="22">
        <f t="shared" si="49"/>
        <v>0</v>
      </c>
      <c r="H61" s="22">
        <f t="shared" si="49"/>
        <v>121502.3</v>
      </c>
      <c r="I61" s="22">
        <f t="shared" si="49"/>
        <v>0</v>
      </c>
      <c r="J61" s="22">
        <f t="shared" si="49"/>
        <v>121502.3</v>
      </c>
      <c r="K61" s="22">
        <f t="shared" si="49"/>
        <v>0</v>
      </c>
      <c r="L61" s="22">
        <f t="shared" si="49"/>
        <v>121502.3</v>
      </c>
      <c r="M61" s="22">
        <f t="shared" si="49"/>
        <v>0</v>
      </c>
      <c r="N61" s="22">
        <f t="shared" si="49"/>
        <v>121502.3</v>
      </c>
      <c r="O61" s="22">
        <f t="shared" si="49"/>
        <v>0</v>
      </c>
      <c r="P61" s="25">
        <f>H61/D61</f>
        <v>0.99099999999999999</v>
      </c>
      <c r="Q61" s="25">
        <f t="shared" si="39"/>
        <v>0.99099999999999999</v>
      </c>
      <c r="S61" s="3"/>
    </row>
    <row r="62" spans="1:19" s="19" customFormat="1">
      <c r="A62" s="276" t="s">
        <v>46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8"/>
      <c r="S62" s="3"/>
    </row>
    <row r="63" spans="1:19" s="19" customFormat="1" ht="51">
      <c r="A63" s="140" t="s">
        <v>345</v>
      </c>
      <c r="B63" s="221" t="s">
        <v>346</v>
      </c>
      <c r="C63" s="222">
        <f>C64</f>
        <v>25358.5</v>
      </c>
      <c r="D63" s="16">
        <f t="shared" ref="D63:O64" si="50">D64</f>
        <v>25358.5</v>
      </c>
      <c r="E63" s="16">
        <f t="shared" si="50"/>
        <v>0</v>
      </c>
      <c r="F63" s="16">
        <f t="shared" si="50"/>
        <v>25358.5</v>
      </c>
      <c r="G63" s="16">
        <f t="shared" si="50"/>
        <v>0</v>
      </c>
      <c r="H63" s="16">
        <f t="shared" si="50"/>
        <v>24955.4</v>
      </c>
      <c r="I63" s="16">
        <f t="shared" si="50"/>
        <v>0</v>
      </c>
      <c r="J63" s="16">
        <f t="shared" si="50"/>
        <v>24955.4</v>
      </c>
      <c r="K63" s="16">
        <f t="shared" si="50"/>
        <v>0</v>
      </c>
      <c r="L63" s="16">
        <f t="shared" si="50"/>
        <v>24832</v>
      </c>
      <c r="M63" s="16">
        <f t="shared" si="50"/>
        <v>0</v>
      </c>
      <c r="N63" s="16">
        <f t="shared" si="50"/>
        <v>24832</v>
      </c>
      <c r="O63" s="16">
        <f t="shared" si="50"/>
        <v>0</v>
      </c>
      <c r="P63" s="23">
        <f t="shared" ref="P63" si="51">H63/D63</f>
        <v>0.98399999999999999</v>
      </c>
      <c r="Q63" s="23">
        <f t="shared" ref="Q63:Q72" si="52">L63/D63</f>
        <v>0.97899999999999998</v>
      </c>
      <c r="S63" s="3"/>
    </row>
    <row r="64" spans="1:19" s="19" customFormat="1" ht="25.5">
      <c r="A64" s="141" t="s">
        <v>347</v>
      </c>
      <c r="B64" s="228" t="s">
        <v>300</v>
      </c>
      <c r="C64" s="224">
        <f>C65</f>
        <v>25358.5</v>
      </c>
      <c r="D64" s="142">
        <f t="shared" si="50"/>
        <v>25358.5</v>
      </c>
      <c r="E64" s="142">
        <f t="shared" si="50"/>
        <v>0</v>
      </c>
      <c r="F64" s="142">
        <f t="shared" si="50"/>
        <v>25358.5</v>
      </c>
      <c r="G64" s="142">
        <f t="shared" si="50"/>
        <v>0</v>
      </c>
      <c r="H64" s="142">
        <f t="shared" si="50"/>
        <v>24955.4</v>
      </c>
      <c r="I64" s="142">
        <f t="shared" si="50"/>
        <v>0</v>
      </c>
      <c r="J64" s="142">
        <f t="shared" si="50"/>
        <v>24955.4</v>
      </c>
      <c r="K64" s="142">
        <f t="shared" si="50"/>
        <v>0</v>
      </c>
      <c r="L64" s="142">
        <f t="shared" si="50"/>
        <v>24832</v>
      </c>
      <c r="M64" s="142">
        <f t="shared" si="50"/>
        <v>0</v>
      </c>
      <c r="N64" s="142">
        <f t="shared" si="50"/>
        <v>24832</v>
      </c>
      <c r="O64" s="142">
        <f t="shared" si="50"/>
        <v>0</v>
      </c>
      <c r="P64" s="143">
        <f>H64/D64</f>
        <v>0.98399999999999999</v>
      </c>
      <c r="Q64" s="143">
        <f t="shared" si="52"/>
        <v>0.97899999999999998</v>
      </c>
      <c r="S64" s="3"/>
    </row>
    <row r="65" spans="1:19" s="19" customFormat="1">
      <c r="A65" s="146"/>
      <c r="B65" s="234" t="s">
        <v>348</v>
      </c>
      <c r="C65" s="224">
        <v>25358.5</v>
      </c>
      <c r="D65" s="12">
        <f t="shared" ref="D65" si="53">E65+F65+G65</f>
        <v>25358.5</v>
      </c>
      <c r="E65" s="12">
        <v>0</v>
      </c>
      <c r="F65" s="12">
        <v>25358.5</v>
      </c>
      <c r="G65" s="12">
        <v>0</v>
      </c>
      <c r="H65" s="12">
        <f t="shared" ref="H65" si="54">I65+J65+K65</f>
        <v>24955.4</v>
      </c>
      <c r="I65" s="12">
        <v>0</v>
      </c>
      <c r="J65" s="12">
        <v>24955.4</v>
      </c>
      <c r="K65" s="12">
        <v>0</v>
      </c>
      <c r="L65" s="12">
        <f t="shared" ref="L65" si="55">M65+N65+O65</f>
        <v>24832</v>
      </c>
      <c r="M65" s="12">
        <v>0</v>
      </c>
      <c r="N65" s="12">
        <v>24832</v>
      </c>
      <c r="O65" s="12">
        <v>0</v>
      </c>
      <c r="P65" s="24">
        <f t="shared" ref="P65:P66" si="56">H65/D65</f>
        <v>0.98399999999999999</v>
      </c>
      <c r="Q65" s="24">
        <f t="shared" si="52"/>
        <v>0.97899999999999998</v>
      </c>
      <c r="S65" s="3"/>
    </row>
    <row r="66" spans="1:19" s="19" customFormat="1" ht="25.5">
      <c r="A66" s="140" t="s">
        <v>349</v>
      </c>
      <c r="B66" s="221" t="s">
        <v>350</v>
      </c>
      <c r="C66" s="222">
        <f>C67</f>
        <v>2100.8000000000002</v>
      </c>
      <c r="D66" s="16">
        <f t="shared" ref="D66:O67" si="57">D67</f>
        <v>2100.8000000000002</v>
      </c>
      <c r="E66" s="16">
        <f t="shared" si="57"/>
        <v>0</v>
      </c>
      <c r="F66" s="16">
        <f t="shared" si="57"/>
        <v>2100.8000000000002</v>
      </c>
      <c r="G66" s="16">
        <f t="shared" si="57"/>
        <v>0</v>
      </c>
      <c r="H66" s="16">
        <f t="shared" si="57"/>
        <v>2100.8000000000002</v>
      </c>
      <c r="I66" s="16">
        <f t="shared" si="57"/>
        <v>0</v>
      </c>
      <c r="J66" s="16">
        <f t="shared" si="57"/>
        <v>2100.8000000000002</v>
      </c>
      <c r="K66" s="16">
        <f t="shared" si="57"/>
        <v>0</v>
      </c>
      <c r="L66" s="16">
        <f t="shared" si="57"/>
        <v>2100.8000000000002</v>
      </c>
      <c r="M66" s="16">
        <f t="shared" si="57"/>
        <v>0</v>
      </c>
      <c r="N66" s="16">
        <f t="shared" si="57"/>
        <v>2100.8000000000002</v>
      </c>
      <c r="O66" s="16">
        <f t="shared" si="57"/>
        <v>0</v>
      </c>
      <c r="P66" s="23">
        <f t="shared" si="56"/>
        <v>1</v>
      </c>
      <c r="Q66" s="23">
        <f t="shared" si="52"/>
        <v>1</v>
      </c>
      <c r="S66" s="3"/>
    </row>
    <row r="67" spans="1:19" s="19" customFormat="1" ht="25.5">
      <c r="A67" s="141" t="s">
        <v>351</v>
      </c>
      <c r="B67" s="228" t="s">
        <v>352</v>
      </c>
      <c r="C67" s="224">
        <f>C68</f>
        <v>2100.8000000000002</v>
      </c>
      <c r="D67" s="142">
        <f t="shared" si="57"/>
        <v>2100.8000000000002</v>
      </c>
      <c r="E67" s="142">
        <f t="shared" si="57"/>
        <v>0</v>
      </c>
      <c r="F67" s="142">
        <f t="shared" si="57"/>
        <v>2100.8000000000002</v>
      </c>
      <c r="G67" s="142">
        <f t="shared" si="57"/>
        <v>0</v>
      </c>
      <c r="H67" s="142">
        <f t="shared" si="57"/>
        <v>2100.8000000000002</v>
      </c>
      <c r="I67" s="142">
        <f t="shared" si="57"/>
        <v>0</v>
      </c>
      <c r="J67" s="142">
        <f t="shared" si="57"/>
        <v>2100.8000000000002</v>
      </c>
      <c r="K67" s="142">
        <f t="shared" si="57"/>
        <v>0</v>
      </c>
      <c r="L67" s="142">
        <f t="shared" si="57"/>
        <v>2100.8000000000002</v>
      </c>
      <c r="M67" s="142">
        <f t="shared" si="57"/>
        <v>0</v>
      </c>
      <c r="N67" s="142">
        <f t="shared" si="57"/>
        <v>2100.8000000000002</v>
      </c>
      <c r="O67" s="142">
        <f t="shared" si="57"/>
        <v>0</v>
      </c>
      <c r="P67" s="143">
        <f>H67/D67</f>
        <v>1</v>
      </c>
      <c r="Q67" s="143">
        <f t="shared" si="52"/>
        <v>1</v>
      </c>
      <c r="S67" s="3"/>
    </row>
    <row r="68" spans="1:19" s="19" customFormat="1" ht="38.25">
      <c r="A68" s="146"/>
      <c r="B68" s="234" t="s">
        <v>353</v>
      </c>
      <c r="C68" s="224">
        <v>2100.8000000000002</v>
      </c>
      <c r="D68" s="12">
        <f t="shared" ref="D68" si="58">E68+F68+G68</f>
        <v>2100.8000000000002</v>
      </c>
      <c r="E68" s="12">
        <v>0</v>
      </c>
      <c r="F68" s="12">
        <v>2100.8000000000002</v>
      </c>
      <c r="G68" s="12">
        <v>0</v>
      </c>
      <c r="H68" s="12">
        <f t="shared" ref="H68" si="59">I68+J68+K68</f>
        <v>2100.8000000000002</v>
      </c>
      <c r="I68" s="12">
        <v>0</v>
      </c>
      <c r="J68" s="12">
        <v>2100.8000000000002</v>
      </c>
      <c r="K68" s="12">
        <v>0</v>
      </c>
      <c r="L68" s="12">
        <f t="shared" ref="L68" si="60">M68+N68+O68</f>
        <v>2100.8000000000002</v>
      </c>
      <c r="M68" s="12">
        <v>0</v>
      </c>
      <c r="N68" s="12">
        <v>2100.8000000000002</v>
      </c>
      <c r="O68" s="12">
        <v>0</v>
      </c>
      <c r="P68" s="24">
        <f t="shared" ref="P68:P69" si="61">H68/D68</f>
        <v>1</v>
      </c>
      <c r="Q68" s="24">
        <f t="shared" si="52"/>
        <v>1</v>
      </c>
      <c r="S68" s="3"/>
    </row>
    <row r="69" spans="1:19" s="19" customFormat="1" ht="13.15" customHeight="1">
      <c r="A69" s="140" t="s">
        <v>354</v>
      </c>
      <c r="B69" s="221" t="s">
        <v>355</v>
      </c>
      <c r="C69" s="222">
        <f>C70</f>
        <v>3218.4</v>
      </c>
      <c r="D69" s="16">
        <f>D70</f>
        <v>3218.4</v>
      </c>
      <c r="E69" s="16">
        <f t="shared" ref="D69:O70" si="62">E70</f>
        <v>0</v>
      </c>
      <c r="F69" s="16">
        <f t="shared" si="62"/>
        <v>3218.4</v>
      </c>
      <c r="G69" s="16">
        <f t="shared" si="62"/>
        <v>0</v>
      </c>
      <c r="H69" s="16">
        <f t="shared" si="62"/>
        <v>2597.1</v>
      </c>
      <c r="I69" s="16">
        <f t="shared" si="62"/>
        <v>0</v>
      </c>
      <c r="J69" s="16">
        <f t="shared" si="62"/>
        <v>2597.1</v>
      </c>
      <c r="K69" s="16">
        <f t="shared" si="62"/>
        <v>0</v>
      </c>
      <c r="L69" s="16">
        <f t="shared" si="62"/>
        <v>2597.1</v>
      </c>
      <c r="M69" s="16">
        <f t="shared" si="62"/>
        <v>0</v>
      </c>
      <c r="N69" s="16">
        <f t="shared" si="62"/>
        <v>2597.1</v>
      </c>
      <c r="O69" s="16">
        <f t="shared" si="62"/>
        <v>0</v>
      </c>
      <c r="P69" s="23">
        <f t="shared" si="61"/>
        <v>0.80700000000000005</v>
      </c>
      <c r="Q69" s="23">
        <f t="shared" si="52"/>
        <v>0.80700000000000005</v>
      </c>
      <c r="S69" s="3"/>
    </row>
    <row r="70" spans="1:19" s="19" customFormat="1">
      <c r="A70" s="141" t="s">
        <v>356</v>
      </c>
      <c r="B70" s="228" t="s">
        <v>357</v>
      </c>
      <c r="C70" s="224">
        <f>C71</f>
        <v>3218.4</v>
      </c>
      <c r="D70" s="142">
        <f t="shared" si="62"/>
        <v>3218.4</v>
      </c>
      <c r="E70" s="142">
        <f t="shared" si="62"/>
        <v>0</v>
      </c>
      <c r="F70" s="142">
        <f t="shared" si="62"/>
        <v>3218.4</v>
      </c>
      <c r="G70" s="142">
        <f t="shared" si="62"/>
        <v>0</v>
      </c>
      <c r="H70" s="142">
        <f t="shared" si="62"/>
        <v>2597.1</v>
      </c>
      <c r="I70" s="142">
        <f t="shared" si="62"/>
        <v>0</v>
      </c>
      <c r="J70" s="142">
        <f t="shared" si="62"/>
        <v>2597.1</v>
      </c>
      <c r="K70" s="142">
        <f t="shared" si="62"/>
        <v>0</v>
      </c>
      <c r="L70" s="142">
        <f t="shared" si="62"/>
        <v>2597.1</v>
      </c>
      <c r="M70" s="142">
        <f t="shared" si="62"/>
        <v>0</v>
      </c>
      <c r="N70" s="142">
        <f t="shared" si="62"/>
        <v>2597.1</v>
      </c>
      <c r="O70" s="142">
        <f t="shared" si="62"/>
        <v>0</v>
      </c>
      <c r="P70" s="143">
        <f>H70/D70</f>
        <v>0.80700000000000005</v>
      </c>
      <c r="Q70" s="143">
        <f t="shared" si="52"/>
        <v>0.80700000000000005</v>
      </c>
      <c r="S70" s="3"/>
    </row>
    <row r="71" spans="1:19" s="19" customFormat="1" ht="13.15" customHeight="1">
      <c r="A71" s="146"/>
      <c r="B71" s="234" t="s">
        <v>358</v>
      </c>
      <c r="C71" s="224">
        <v>3218.4</v>
      </c>
      <c r="D71" s="12">
        <f t="shared" ref="D71" si="63">E71+F71+G71</f>
        <v>3218.4</v>
      </c>
      <c r="E71" s="12">
        <v>0</v>
      </c>
      <c r="F71" s="12">
        <v>3218.4</v>
      </c>
      <c r="G71" s="12">
        <v>0</v>
      </c>
      <c r="H71" s="12">
        <f t="shared" ref="H71" si="64">I71+J71+K71</f>
        <v>2597.1</v>
      </c>
      <c r="I71" s="12">
        <v>0</v>
      </c>
      <c r="J71" s="12">
        <v>2597.1</v>
      </c>
      <c r="K71" s="12">
        <v>0</v>
      </c>
      <c r="L71" s="12">
        <f t="shared" ref="L71" si="65">M71+N71+O71</f>
        <v>2597.1</v>
      </c>
      <c r="M71" s="12">
        <v>0</v>
      </c>
      <c r="N71" s="12">
        <v>2597.1</v>
      </c>
      <c r="O71" s="12">
        <v>0</v>
      </c>
      <c r="P71" s="24">
        <f t="shared" ref="P71" si="66">H71/D71</f>
        <v>0.80700000000000005</v>
      </c>
      <c r="Q71" s="24">
        <f t="shared" si="52"/>
        <v>0.80700000000000005</v>
      </c>
      <c r="S71" s="3"/>
    </row>
    <row r="72" spans="1:19" s="19" customFormat="1">
      <c r="A72" s="20"/>
      <c r="B72" s="21" t="s">
        <v>359</v>
      </c>
      <c r="C72" s="22">
        <f>C63+C66+C69</f>
        <v>30677.7</v>
      </c>
      <c r="D72" s="22">
        <f t="shared" ref="D72:O72" si="67">D63+D66+D69</f>
        <v>30677.7</v>
      </c>
      <c r="E72" s="22">
        <f t="shared" si="67"/>
        <v>0</v>
      </c>
      <c r="F72" s="22">
        <f t="shared" si="67"/>
        <v>30677.7</v>
      </c>
      <c r="G72" s="22">
        <f t="shared" si="67"/>
        <v>0</v>
      </c>
      <c r="H72" s="22">
        <f t="shared" si="67"/>
        <v>29653.3</v>
      </c>
      <c r="I72" s="22">
        <f t="shared" si="67"/>
        <v>0</v>
      </c>
      <c r="J72" s="22">
        <f t="shared" si="67"/>
        <v>29653.3</v>
      </c>
      <c r="K72" s="22">
        <f t="shared" si="67"/>
        <v>0</v>
      </c>
      <c r="L72" s="22">
        <f t="shared" si="67"/>
        <v>29529.9</v>
      </c>
      <c r="M72" s="22">
        <f t="shared" si="67"/>
        <v>0</v>
      </c>
      <c r="N72" s="22">
        <f t="shared" si="67"/>
        <v>29529.9</v>
      </c>
      <c r="O72" s="22">
        <f t="shared" si="67"/>
        <v>0</v>
      </c>
      <c r="P72" s="25">
        <f>H72/D72</f>
        <v>0.96699999999999997</v>
      </c>
      <c r="Q72" s="25">
        <f t="shared" si="52"/>
        <v>0.96299999999999997</v>
      </c>
      <c r="S72" s="3"/>
    </row>
    <row r="73" spans="1:19" s="19" customFormat="1">
      <c r="A73" s="281" t="s">
        <v>47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S73" s="3"/>
    </row>
    <row r="74" spans="1:19" s="19" customFormat="1" ht="38.25">
      <c r="A74" s="147" t="s">
        <v>360</v>
      </c>
      <c r="B74" s="221" t="s">
        <v>361</v>
      </c>
      <c r="C74" s="222">
        <f>C75+C77</f>
        <v>1168</v>
      </c>
      <c r="D74" s="16">
        <f t="shared" ref="D74:O74" si="68">D75+D77</f>
        <v>1168</v>
      </c>
      <c r="E74" s="16">
        <f t="shared" si="68"/>
        <v>0</v>
      </c>
      <c r="F74" s="16">
        <f t="shared" si="68"/>
        <v>1168</v>
      </c>
      <c r="G74" s="16">
        <f t="shared" si="68"/>
        <v>0</v>
      </c>
      <c r="H74" s="16">
        <f t="shared" si="68"/>
        <v>813.2</v>
      </c>
      <c r="I74" s="16">
        <f t="shared" si="68"/>
        <v>0</v>
      </c>
      <c r="J74" s="16">
        <f t="shared" si="68"/>
        <v>813.2</v>
      </c>
      <c r="K74" s="16">
        <f t="shared" si="68"/>
        <v>0</v>
      </c>
      <c r="L74" s="16">
        <f t="shared" si="68"/>
        <v>813.2</v>
      </c>
      <c r="M74" s="16">
        <f t="shared" si="68"/>
        <v>0</v>
      </c>
      <c r="N74" s="16">
        <f t="shared" si="68"/>
        <v>813.2</v>
      </c>
      <c r="O74" s="16">
        <f t="shared" si="68"/>
        <v>0</v>
      </c>
      <c r="P74" s="23">
        <f t="shared" ref="P74:P83" si="69">H74/D74</f>
        <v>0.69599999999999995</v>
      </c>
      <c r="Q74" s="23">
        <f t="shared" ref="Q74:Q85" si="70">L74/D74</f>
        <v>0.69599999999999995</v>
      </c>
      <c r="S74" s="3"/>
    </row>
    <row r="75" spans="1:19" s="19" customFormat="1" ht="25.5">
      <c r="A75" s="141" t="s">
        <v>362</v>
      </c>
      <c r="B75" s="228" t="s">
        <v>363</v>
      </c>
      <c r="C75" s="224">
        <f>C76</f>
        <v>480</v>
      </c>
      <c r="D75" s="142">
        <f>D76</f>
        <v>480</v>
      </c>
      <c r="E75" s="142">
        <f t="shared" ref="E75:O75" si="71">E76</f>
        <v>0</v>
      </c>
      <c r="F75" s="142">
        <f t="shared" si="71"/>
        <v>480</v>
      </c>
      <c r="G75" s="142">
        <f t="shared" si="71"/>
        <v>0</v>
      </c>
      <c r="H75" s="142">
        <f t="shared" si="71"/>
        <v>477.7</v>
      </c>
      <c r="I75" s="142">
        <f t="shared" si="71"/>
        <v>0</v>
      </c>
      <c r="J75" s="142">
        <f t="shared" si="71"/>
        <v>477.7</v>
      </c>
      <c r="K75" s="142">
        <f t="shared" si="71"/>
        <v>0</v>
      </c>
      <c r="L75" s="142">
        <f t="shared" si="71"/>
        <v>477.7</v>
      </c>
      <c r="M75" s="142">
        <f t="shared" si="71"/>
        <v>0</v>
      </c>
      <c r="N75" s="142">
        <f t="shared" si="71"/>
        <v>477.7</v>
      </c>
      <c r="O75" s="142">
        <f t="shared" si="71"/>
        <v>0</v>
      </c>
      <c r="P75" s="143">
        <f t="shared" si="69"/>
        <v>0.995</v>
      </c>
      <c r="Q75" s="143">
        <f t="shared" si="70"/>
        <v>0.995</v>
      </c>
      <c r="S75" s="3"/>
    </row>
    <row r="76" spans="1:19" s="19" customFormat="1" ht="89.25">
      <c r="A76" s="146"/>
      <c r="B76" s="225" t="s">
        <v>364</v>
      </c>
      <c r="C76" s="224">
        <v>480</v>
      </c>
      <c r="D76" s="12">
        <f t="shared" ref="D76:D77" si="72">E76+F76+G76</f>
        <v>480</v>
      </c>
      <c r="E76" s="12">
        <v>0</v>
      </c>
      <c r="F76" s="12">
        <v>480</v>
      </c>
      <c r="G76" s="12">
        <v>0</v>
      </c>
      <c r="H76" s="12">
        <f t="shared" ref="H76:H77" si="73">I76+J76+K76</f>
        <v>477.7</v>
      </c>
      <c r="I76" s="12">
        <v>0</v>
      </c>
      <c r="J76" s="12">
        <v>477.7</v>
      </c>
      <c r="K76" s="12">
        <v>0</v>
      </c>
      <c r="L76" s="12">
        <f t="shared" ref="L76:L77" si="74">M76+N76+O76</f>
        <v>477.7</v>
      </c>
      <c r="M76" s="12">
        <v>0</v>
      </c>
      <c r="N76" s="12">
        <v>477.7</v>
      </c>
      <c r="O76" s="12">
        <v>0</v>
      </c>
      <c r="P76" s="24">
        <f t="shared" si="69"/>
        <v>0.995</v>
      </c>
      <c r="Q76" s="24">
        <f t="shared" si="70"/>
        <v>0.995</v>
      </c>
      <c r="S76" s="3"/>
    </row>
    <row r="77" spans="1:19" s="19" customFormat="1" ht="38.25">
      <c r="A77" s="141" t="s">
        <v>365</v>
      </c>
      <c r="B77" s="228" t="s">
        <v>522</v>
      </c>
      <c r="C77" s="224">
        <v>688</v>
      </c>
      <c r="D77" s="142">
        <f t="shared" si="72"/>
        <v>688</v>
      </c>
      <c r="E77" s="142">
        <v>0</v>
      </c>
      <c r="F77" s="142">
        <v>688</v>
      </c>
      <c r="G77" s="142">
        <v>0</v>
      </c>
      <c r="H77" s="142">
        <f t="shared" si="73"/>
        <v>335.5</v>
      </c>
      <c r="I77" s="142">
        <v>0</v>
      </c>
      <c r="J77" s="142">
        <v>335.5</v>
      </c>
      <c r="K77" s="142">
        <v>0</v>
      </c>
      <c r="L77" s="142">
        <f t="shared" si="74"/>
        <v>335.5</v>
      </c>
      <c r="M77" s="142">
        <v>0</v>
      </c>
      <c r="N77" s="142">
        <v>335.5</v>
      </c>
      <c r="O77" s="142">
        <v>0</v>
      </c>
      <c r="P77" s="143">
        <f t="shared" si="69"/>
        <v>0.48799999999999999</v>
      </c>
      <c r="Q77" s="143">
        <f t="shared" si="70"/>
        <v>0.48799999999999999</v>
      </c>
      <c r="S77" s="3"/>
    </row>
    <row r="78" spans="1:19" s="19" customFormat="1" ht="38.25">
      <c r="A78" s="147" t="s">
        <v>366</v>
      </c>
      <c r="B78" s="221" t="s">
        <v>367</v>
      </c>
      <c r="C78" s="222">
        <f>C79+C80</f>
        <v>35863.599999999999</v>
      </c>
      <c r="D78" s="16">
        <f>D79+D80</f>
        <v>35863.599999999999</v>
      </c>
      <c r="E78" s="16">
        <f t="shared" ref="E78:O78" si="75">E79+E80</f>
        <v>0</v>
      </c>
      <c r="F78" s="16">
        <f t="shared" si="75"/>
        <v>35863.599999999999</v>
      </c>
      <c r="G78" s="16">
        <f t="shared" si="75"/>
        <v>0</v>
      </c>
      <c r="H78" s="16">
        <f t="shared" si="75"/>
        <v>35032</v>
      </c>
      <c r="I78" s="16">
        <f t="shared" si="75"/>
        <v>0</v>
      </c>
      <c r="J78" s="16">
        <f t="shared" si="75"/>
        <v>35032</v>
      </c>
      <c r="K78" s="16">
        <f t="shared" si="75"/>
        <v>0</v>
      </c>
      <c r="L78" s="16">
        <f t="shared" si="75"/>
        <v>35032</v>
      </c>
      <c r="M78" s="16">
        <f t="shared" si="75"/>
        <v>0</v>
      </c>
      <c r="N78" s="16">
        <f t="shared" si="75"/>
        <v>35032</v>
      </c>
      <c r="O78" s="16">
        <f t="shared" si="75"/>
        <v>0</v>
      </c>
      <c r="P78" s="23">
        <f t="shared" si="69"/>
        <v>0.97699999999999998</v>
      </c>
      <c r="Q78" s="23">
        <f t="shared" si="70"/>
        <v>0.97699999999999998</v>
      </c>
      <c r="S78" s="3"/>
    </row>
    <row r="79" spans="1:19" s="19" customFormat="1" ht="25.5">
      <c r="A79" s="141" t="s">
        <v>368</v>
      </c>
      <c r="B79" s="228" t="s">
        <v>369</v>
      </c>
      <c r="C79" s="224">
        <v>20446.2</v>
      </c>
      <c r="D79" s="142">
        <f>E79+F79+G79</f>
        <v>20446.2</v>
      </c>
      <c r="E79" s="142">
        <v>0</v>
      </c>
      <c r="F79" s="142">
        <v>20446.2</v>
      </c>
      <c r="G79" s="142">
        <v>0</v>
      </c>
      <c r="H79" s="142">
        <f t="shared" ref="H79" si="76">I79+J79+K79</f>
        <v>19654.2</v>
      </c>
      <c r="I79" s="142">
        <v>0</v>
      </c>
      <c r="J79" s="142">
        <v>19654.2</v>
      </c>
      <c r="K79" s="142">
        <v>0</v>
      </c>
      <c r="L79" s="142">
        <f t="shared" ref="L79:L83" si="77">M79+N79+O79</f>
        <v>19654.2</v>
      </c>
      <c r="M79" s="142">
        <v>0</v>
      </c>
      <c r="N79" s="142">
        <v>19654.2</v>
      </c>
      <c r="O79" s="142">
        <v>0</v>
      </c>
      <c r="P79" s="143">
        <f t="shared" si="69"/>
        <v>0.96099999999999997</v>
      </c>
      <c r="Q79" s="143">
        <f t="shared" si="70"/>
        <v>0.96099999999999997</v>
      </c>
      <c r="S79" s="3"/>
    </row>
    <row r="80" spans="1:19" s="19" customFormat="1" ht="25.5">
      <c r="A80" s="141" t="s">
        <v>370</v>
      </c>
      <c r="B80" s="228" t="s">
        <v>371</v>
      </c>
      <c r="C80" s="224">
        <f>C81+C82+C83</f>
        <v>15417.4</v>
      </c>
      <c r="D80" s="142">
        <f t="shared" ref="D80:O80" si="78">D81+D82+D83</f>
        <v>15417.4</v>
      </c>
      <c r="E80" s="142">
        <f t="shared" si="78"/>
        <v>0</v>
      </c>
      <c r="F80" s="142">
        <f t="shared" si="78"/>
        <v>15417.4</v>
      </c>
      <c r="G80" s="142">
        <f t="shared" si="78"/>
        <v>0</v>
      </c>
      <c r="H80" s="142">
        <f t="shared" si="78"/>
        <v>15377.8</v>
      </c>
      <c r="I80" s="142">
        <f t="shared" si="78"/>
        <v>0</v>
      </c>
      <c r="J80" s="142">
        <f t="shared" si="78"/>
        <v>15377.8</v>
      </c>
      <c r="K80" s="142">
        <f t="shared" si="78"/>
        <v>0</v>
      </c>
      <c r="L80" s="142">
        <f t="shared" si="78"/>
        <v>15377.8</v>
      </c>
      <c r="M80" s="142">
        <f t="shared" si="78"/>
        <v>0</v>
      </c>
      <c r="N80" s="142">
        <f t="shared" si="78"/>
        <v>15377.8</v>
      </c>
      <c r="O80" s="142">
        <f t="shared" si="78"/>
        <v>0</v>
      </c>
      <c r="P80" s="143">
        <f t="shared" si="69"/>
        <v>0.997</v>
      </c>
      <c r="Q80" s="143">
        <f t="shared" si="70"/>
        <v>0.997</v>
      </c>
      <c r="S80" s="3"/>
    </row>
    <row r="81" spans="1:19" s="19" customFormat="1">
      <c r="A81" s="146"/>
      <c r="B81" s="234" t="s">
        <v>523</v>
      </c>
      <c r="C81" s="224">
        <v>12623.8</v>
      </c>
      <c r="D81" s="12">
        <f>E81+F81+G81</f>
        <v>12623.8</v>
      </c>
      <c r="E81" s="12">
        <v>0</v>
      </c>
      <c r="F81" s="12">
        <v>12623.8</v>
      </c>
      <c r="G81" s="12">
        <v>0</v>
      </c>
      <c r="H81" s="12">
        <f>I81+J81+K81</f>
        <v>12589.8</v>
      </c>
      <c r="I81" s="12">
        <v>0</v>
      </c>
      <c r="J81" s="12">
        <v>12589.8</v>
      </c>
      <c r="K81" s="12">
        <v>0</v>
      </c>
      <c r="L81" s="12">
        <f t="shared" si="77"/>
        <v>12589.8</v>
      </c>
      <c r="M81" s="12">
        <v>0</v>
      </c>
      <c r="N81" s="12">
        <v>12589.8</v>
      </c>
      <c r="O81" s="12">
        <v>0</v>
      </c>
      <c r="P81" s="24">
        <f t="shared" si="69"/>
        <v>0.997</v>
      </c>
      <c r="Q81" s="24">
        <f t="shared" si="70"/>
        <v>0.997</v>
      </c>
      <c r="S81" s="3"/>
    </row>
    <row r="82" spans="1:19" s="19" customFormat="1" ht="25.5">
      <c r="A82" s="146"/>
      <c r="B82" s="234" t="s">
        <v>524</v>
      </c>
      <c r="C82" s="224">
        <v>1493.6</v>
      </c>
      <c r="D82" s="12">
        <f t="shared" ref="D82:D83" si="79">E82+F82+G82</f>
        <v>1493.6</v>
      </c>
      <c r="E82" s="12">
        <v>0</v>
      </c>
      <c r="F82" s="12">
        <v>1493.6</v>
      </c>
      <c r="G82" s="12">
        <v>0</v>
      </c>
      <c r="H82" s="12">
        <f t="shared" ref="H82" si="80">I82+J82+K82</f>
        <v>1488</v>
      </c>
      <c r="I82" s="12">
        <v>0</v>
      </c>
      <c r="J82" s="12">
        <f>(1493590-5619.95)/1000</f>
        <v>1488</v>
      </c>
      <c r="K82" s="12">
        <v>0</v>
      </c>
      <c r="L82" s="12">
        <f t="shared" si="77"/>
        <v>1488</v>
      </c>
      <c r="M82" s="12">
        <v>0</v>
      </c>
      <c r="N82" s="12">
        <f>(1493590-5619.95)/1000</f>
        <v>1488</v>
      </c>
      <c r="O82" s="12">
        <v>0</v>
      </c>
      <c r="P82" s="24">
        <f t="shared" si="69"/>
        <v>0.996</v>
      </c>
      <c r="Q82" s="24">
        <f t="shared" si="70"/>
        <v>0.996</v>
      </c>
      <c r="S82" s="3"/>
    </row>
    <row r="83" spans="1:19" s="19" customFormat="1" ht="38.25">
      <c r="A83" s="146"/>
      <c r="B83" s="234" t="s">
        <v>525</v>
      </c>
      <c r="C83" s="224">
        <v>1300</v>
      </c>
      <c r="D83" s="12">
        <f t="shared" si="79"/>
        <v>1300</v>
      </c>
      <c r="E83" s="12">
        <v>0</v>
      </c>
      <c r="F83" s="12">
        <v>1300</v>
      </c>
      <c r="G83" s="12">
        <v>0</v>
      </c>
      <c r="H83" s="12">
        <f>I83+J83+K83</f>
        <v>1300</v>
      </c>
      <c r="I83" s="12">
        <v>0</v>
      </c>
      <c r="J83" s="12">
        <v>1300</v>
      </c>
      <c r="K83" s="12">
        <v>0</v>
      </c>
      <c r="L83" s="12">
        <f t="shared" si="77"/>
        <v>1300</v>
      </c>
      <c r="M83" s="12">
        <v>0</v>
      </c>
      <c r="N83" s="12">
        <v>1300</v>
      </c>
      <c r="O83" s="12">
        <v>0</v>
      </c>
      <c r="P83" s="24">
        <f t="shared" si="69"/>
        <v>1</v>
      </c>
      <c r="Q83" s="24">
        <f t="shared" si="70"/>
        <v>1</v>
      </c>
      <c r="S83" s="3"/>
    </row>
    <row r="84" spans="1:19" s="19" customFormat="1">
      <c r="A84" s="20"/>
      <c r="B84" s="21" t="s">
        <v>372</v>
      </c>
      <c r="C84" s="22">
        <f>C74+C78</f>
        <v>37031.599999999999</v>
      </c>
      <c r="D84" s="22">
        <f t="shared" ref="D84:O84" si="81">D74+D78</f>
        <v>37031.599999999999</v>
      </c>
      <c r="E84" s="22">
        <f t="shared" si="81"/>
        <v>0</v>
      </c>
      <c r="F84" s="22">
        <f t="shared" si="81"/>
        <v>37031.599999999999</v>
      </c>
      <c r="G84" s="22">
        <f t="shared" si="81"/>
        <v>0</v>
      </c>
      <c r="H84" s="22">
        <f t="shared" si="81"/>
        <v>35845.199999999997</v>
      </c>
      <c r="I84" s="22">
        <f t="shared" si="81"/>
        <v>0</v>
      </c>
      <c r="J84" s="22">
        <f t="shared" si="81"/>
        <v>35845.199999999997</v>
      </c>
      <c r="K84" s="22">
        <f t="shared" si="81"/>
        <v>0</v>
      </c>
      <c r="L84" s="22">
        <f t="shared" si="81"/>
        <v>35845.199999999997</v>
      </c>
      <c r="M84" s="22">
        <f t="shared" si="81"/>
        <v>0</v>
      </c>
      <c r="N84" s="22">
        <f t="shared" si="81"/>
        <v>35845.199999999997</v>
      </c>
      <c r="O84" s="22">
        <f t="shared" si="81"/>
        <v>0</v>
      </c>
      <c r="P84" s="25">
        <f>H84/D84</f>
        <v>0.96799999999999997</v>
      </c>
      <c r="Q84" s="25">
        <f t="shared" si="70"/>
        <v>0.96799999999999997</v>
      </c>
      <c r="S84" s="3"/>
    </row>
    <row r="85" spans="1:19" s="30" customFormat="1" ht="14.25">
      <c r="A85" s="26"/>
      <c r="B85" s="27" t="s">
        <v>168</v>
      </c>
      <c r="C85" s="28">
        <f>C38+C61+C72+C84</f>
        <v>343136.6</v>
      </c>
      <c r="D85" s="28">
        <f t="shared" ref="D85:O85" si="82">D38+D61+D72+D84</f>
        <v>343136.6</v>
      </c>
      <c r="E85" s="28">
        <f t="shared" si="82"/>
        <v>4649.3999999999996</v>
      </c>
      <c r="F85" s="28">
        <f t="shared" si="82"/>
        <v>338487.2</v>
      </c>
      <c r="G85" s="28">
        <f t="shared" si="82"/>
        <v>0</v>
      </c>
      <c r="H85" s="28">
        <f t="shared" si="82"/>
        <v>336936.4</v>
      </c>
      <c r="I85" s="28">
        <f t="shared" si="82"/>
        <v>3588.7</v>
      </c>
      <c r="J85" s="28">
        <f t="shared" si="82"/>
        <v>333347.7</v>
      </c>
      <c r="K85" s="28">
        <f t="shared" si="82"/>
        <v>0</v>
      </c>
      <c r="L85" s="28">
        <f t="shared" si="82"/>
        <v>336813</v>
      </c>
      <c r="M85" s="28">
        <f t="shared" si="82"/>
        <v>3588.7</v>
      </c>
      <c r="N85" s="28">
        <f t="shared" si="82"/>
        <v>333224.3</v>
      </c>
      <c r="O85" s="28">
        <f t="shared" si="82"/>
        <v>0</v>
      </c>
      <c r="P85" s="29">
        <f>H85/D85</f>
        <v>0.98199999999999998</v>
      </c>
      <c r="Q85" s="29">
        <f t="shared" si="70"/>
        <v>0.98199999999999998</v>
      </c>
      <c r="S85" s="3"/>
    </row>
  </sheetData>
  <mergeCells count="27">
    <mergeCell ref="A73:Q73"/>
    <mergeCell ref="D12:G12"/>
    <mergeCell ref="H12:K12"/>
    <mergeCell ref="L12:O12"/>
    <mergeCell ref="P12:P14"/>
    <mergeCell ref="A39:Q39"/>
    <mergeCell ref="A57:A58"/>
    <mergeCell ref="A62:Q62"/>
    <mergeCell ref="A7:Q7"/>
    <mergeCell ref="L1:Q1"/>
    <mergeCell ref="A3:Q3"/>
    <mergeCell ref="A4:Q4"/>
    <mergeCell ref="A5:Q5"/>
    <mergeCell ref="A6:Q6"/>
    <mergeCell ref="A9:Q9"/>
    <mergeCell ref="A11:A14"/>
    <mergeCell ref="B11:B14"/>
    <mergeCell ref="C11:C14"/>
    <mergeCell ref="A16:Q16"/>
    <mergeCell ref="D11:Q11"/>
    <mergeCell ref="Q12:Q14"/>
    <mergeCell ref="D13:D14"/>
    <mergeCell ref="E13:G13"/>
    <mergeCell ref="H13:H14"/>
    <mergeCell ref="I13:K13"/>
    <mergeCell ref="L13:L14"/>
    <mergeCell ref="M13:O13"/>
  </mergeCells>
  <pageMargins left="0.7" right="0.7" top="0.75" bottom="0.75" header="0.3" footer="0.3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90" zoomScaleNormal="80" zoomScaleSheetLayoutView="90" workbookViewId="0">
      <pane xSplit="2" ySplit="12" topLeftCell="C28" activePane="bottomRight" state="frozen"/>
      <selection pane="topRight" activeCell="C1" sqref="C1"/>
      <selection pane="bottomLeft" activeCell="A13" sqref="A13"/>
      <selection pane="bottomRight" activeCell="A16" sqref="A16"/>
    </sheetView>
  </sheetViews>
  <sheetFormatPr defaultColWidth="0" defaultRowHeight="12.75"/>
  <cols>
    <col min="1" max="1" width="5.7109375" style="220" customWidth="1"/>
    <col min="2" max="2" width="41.28515625" style="220" customWidth="1"/>
    <col min="3" max="3" width="8.140625" style="220" customWidth="1"/>
    <col min="4" max="4" width="8" style="220" customWidth="1"/>
    <col min="5" max="5" width="9.7109375" style="220" customWidth="1"/>
    <col min="6" max="6" width="10.28515625" style="220" customWidth="1"/>
    <col min="7" max="7" width="10.85546875" style="220" customWidth="1"/>
    <col min="8" max="8" width="8.85546875" style="220" customWidth="1"/>
    <col min="9" max="9" width="9.5703125" style="220" customWidth="1"/>
    <col min="10" max="10" width="10.140625" style="220" customWidth="1"/>
    <col min="11" max="11" width="10.7109375" style="220" customWidth="1"/>
    <col min="12" max="12" width="8.7109375" style="220" customWidth="1"/>
    <col min="13" max="13" width="10" style="220" customWidth="1"/>
    <col min="14" max="15" width="9.85546875" style="220" customWidth="1"/>
    <col min="16" max="232" width="9.140625" style="220" customWidth="1"/>
    <col min="233" max="233" width="39.85546875" style="220" customWidth="1"/>
    <col min="234" max="234" width="11.140625" style="220" customWidth="1"/>
    <col min="235" max="235" width="0" style="220" hidden="1" customWidth="1"/>
    <col min="236" max="236" width="9.5703125" style="220" customWidth="1"/>
    <col min="237" max="237" width="6.5703125" style="220" customWidth="1"/>
    <col min="238" max="16384" width="0" style="220" hidden="1"/>
  </cols>
  <sheetData>
    <row r="1" spans="1:17" ht="50.25" customHeight="1">
      <c r="L1" s="280" t="s">
        <v>5</v>
      </c>
      <c r="M1" s="280"/>
      <c r="N1" s="280"/>
      <c r="O1" s="280"/>
      <c r="P1" s="280"/>
      <c r="Q1" s="280"/>
    </row>
    <row r="3" spans="1:17" ht="15" customHeight="1">
      <c r="A3" s="270" t="s">
        <v>10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 customHeight="1">
      <c r="A4" s="270" t="s">
        <v>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5" customHeight="1">
      <c r="A5" s="270" t="s">
        <v>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5" customHeight="1">
      <c r="A6" s="270" t="s">
        <v>509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>
      <c r="A7" s="279" t="s">
        <v>75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16.5" customHeight="1">
      <c r="A8" s="288" t="s">
        <v>297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</row>
    <row r="9" spans="1:17" ht="29.25" customHeight="1">
      <c r="L9" s="4"/>
      <c r="M9" s="4"/>
      <c r="N9" s="4"/>
      <c r="O9" s="4"/>
      <c r="Q9" s="4" t="s">
        <v>7</v>
      </c>
    </row>
    <row r="10" spans="1:17" s="2" customFormat="1" ht="16.5" customHeight="1">
      <c r="A10" s="271" t="s">
        <v>33</v>
      </c>
      <c r="B10" s="274" t="s">
        <v>0</v>
      </c>
      <c r="C10" s="274" t="s">
        <v>9</v>
      </c>
      <c r="D10" s="269" t="s">
        <v>8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</row>
    <row r="11" spans="1:17" s="2" customFormat="1" ht="33.75" customHeight="1">
      <c r="A11" s="272"/>
      <c r="B11" s="274"/>
      <c r="C11" s="274"/>
      <c r="D11" s="269" t="s">
        <v>510</v>
      </c>
      <c r="E11" s="269"/>
      <c r="F11" s="269"/>
      <c r="G11" s="269"/>
      <c r="H11" s="274" t="s">
        <v>39</v>
      </c>
      <c r="I11" s="269"/>
      <c r="J11" s="269"/>
      <c r="K11" s="269"/>
      <c r="L11" s="274" t="s">
        <v>38</v>
      </c>
      <c r="M11" s="269"/>
      <c r="N11" s="269"/>
      <c r="O11" s="269"/>
      <c r="P11" s="274" t="s">
        <v>511</v>
      </c>
      <c r="Q11" s="274" t="s">
        <v>512</v>
      </c>
    </row>
    <row r="12" spans="1:17" s="2" customFormat="1" ht="15.75" customHeight="1">
      <c r="A12" s="272"/>
      <c r="B12" s="274"/>
      <c r="C12" s="274"/>
      <c r="D12" s="269" t="s">
        <v>3</v>
      </c>
      <c r="E12" s="269" t="s">
        <v>14</v>
      </c>
      <c r="F12" s="269"/>
      <c r="G12" s="269"/>
      <c r="H12" s="269" t="s">
        <v>3</v>
      </c>
      <c r="I12" s="269" t="s">
        <v>14</v>
      </c>
      <c r="J12" s="269"/>
      <c r="K12" s="269"/>
      <c r="L12" s="269" t="s">
        <v>3</v>
      </c>
      <c r="M12" s="269" t="s">
        <v>14</v>
      </c>
      <c r="N12" s="269"/>
      <c r="O12" s="269"/>
      <c r="P12" s="274"/>
      <c r="Q12" s="274"/>
    </row>
    <row r="13" spans="1:17" s="2" customFormat="1" ht="27" customHeight="1">
      <c r="A13" s="273"/>
      <c r="B13" s="274"/>
      <c r="C13" s="274"/>
      <c r="D13" s="269"/>
      <c r="E13" s="219" t="s">
        <v>4</v>
      </c>
      <c r="F13" s="219" t="s">
        <v>1</v>
      </c>
      <c r="G13" s="219" t="s">
        <v>15</v>
      </c>
      <c r="H13" s="269"/>
      <c r="I13" s="219" t="s">
        <v>4</v>
      </c>
      <c r="J13" s="219" t="s">
        <v>1</v>
      </c>
      <c r="K13" s="219" t="s">
        <v>15</v>
      </c>
      <c r="L13" s="269"/>
      <c r="M13" s="219" t="s">
        <v>4</v>
      </c>
      <c r="N13" s="219" t="s">
        <v>1</v>
      </c>
      <c r="O13" s="219" t="s">
        <v>15</v>
      </c>
      <c r="P13" s="274"/>
      <c r="Q13" s="274"/>
    </row>
    <row r="14" spans="1:17" ht="16.149999999999999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24.6" customHeight="1">
      <c r="A15" s="285" t="s">
        <v>530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7"/>
    </row>
    <row r="16" spans="1:17" s="3" customFormat="1" ht="57.6" customHeight="1">
      <c r="A16" s="14" t="s">
        <v>16</v>
      </c>
      <c r="B16" s="18" t="s">
        <v>17</v>
      </c>
      <c r="C16" s="16">
        <f>C17</f>
        <v>3760</v>
      </c>
      <c r="D16" s="16">
        <f t="shared" ref="D16:O16" si="0">D17</f>
        <v>3760</v>
      </c>
      <c r="E16" s="16">
        <f t="shared" si="0"/>
        <v>0</v>
      </c>
      <c r="F16" s="16">
        <f t="shared" si="0"/>
        <v>3760</v>
      </c>
      <c r="G16" s="16">
        <f t="shared" si="0"/>
        <v>0</v>
      </c>
      <c r="H16" s="16">
        <f t="shared" si="0"/>
        <v>3733.5</v>
      </c>
      <c r="I16" s="16">
        <f t="shared" si="0"/>
        <v>0</v>
      </c>
      <c r="J16" s="16">
        <f t="shared" si="0"/>
        <v>3733.5</v>
      </c>
      <c r="K16" s="16">
        <f t="shared" si="0"/>
        <v>0</v>
      </c>
      <c r="L16" s="16">
        <f t="shared" si="0"/>
        <v>3733.5</v>
      </c>
      <c r="M16" s="16">
        <f t="shared" si="0"/>
        <v>0</v>
      </c>
      <c r="N16" s="16">
        <f t="shared" si="0"/>
        <v>3733.5</v>
      </c>
      <c r="O16" s="16">
        <f t="shared" si="0"/>
        <v>0</v>
      </c>
      <c r="P16" s="23">
        <f t="shared" ref="P16:P17" si="1">H16/D16</f>
        <v>0.99299999999999999</v>
      </c>
      <c r="Q16" s="23">
        <f t="shared" ref="Q16:Q17" si="2">L16/D16</f>
        <v>0.99299999999999999</v>
      </c>
    </row>
    <row r="17" spans="1:17" ht="33" customHeight="1">
      <c r="A17" s="14" t="s">
        <v>18</v>
      </c>
      <c r="B17" s="15" t="s">
        <v>19</v>
      </c>
      <c r="C17" s="16">
        <f>C18+C19+C20+C21</f>
        <v>3760</v>
      </c>
      <c r="D17" s="16">
        <f t="shared" ref="D17:O17" si="3">D18+D19+D20+D21</f>
        <v>3760</v>
      </c>
      <c r="E17" s="16">
        <f t="shared" si="3"/>
        <v>0</v>
      </c>
      <c r="F17" s="16">
        <f t="shared" si="3"/>
        <v>3760</v>
      </c>
      <c r="G17" s="16">
        <f t="shared" si="3"/>
        <v>0</v>
      </c>
      <c r="H17" s="16">
        <f t="shared" si="3"/>
        <v>3733.5</v>
      </c>
      <c r="I17" s="16">
        <f t="shared" si="3"/>
        <v>0</v>
      </c>
      <c r="J17" s="16">
        <f t="shared" si="3"/>
        <v>3733.5</v>
      </c>
      <c r="K17" s="16">
        <f t="shared" si="3"/>
        <v>0</v>
      </c>
      <c r="L17" s="16">
        <f t="shared" si="3"/>
        <v>3733.5</v>
      </c>
      <c r="M17" s="16">
        <f t="shared" si="3"/>
        <v>0</v>
      </c>
      <c r="N17" s="16">
        <f t="shared" si="3"/>
        <v>3733.5</v>
      </c>
      <c r="O17" s="16">
        <f t="shared" si="3"/>
        <v>0</v>
      </c>
      <c r="P17" s="23">
        <f t="shared" si="1"/>
        <v>0.99299999999999999</v>
      </c>
      <c r="Q17" s="23">
        <f t="shared" si="2"/>
        <v>0.99299999999999999</v>
      </c>
    </row>
    <row r="18" spans="1:17" s="3" customFormat="1" ht="44.45" customHeight="1">
      <c r="A18" s="7"/>
      <c r="B18" s="8" t="s">
        <v>20</v>
      </c>
      <c r="C18" s="12">
        <v>2000</v>
      </c>
      <c r="D18" s="12">
        <f t="shared" ref="D18:D21" si="4">E18+F18+G18</f>
        <v>2000</v>
      </c>
      <c r="E18" s="12"/>
      <c r="F18" s="12">
        <f>C18</f>
        <v>2000</v>
      </c>
      <c r="G18" s="12"/>
      <c r="H18" s="12">
        <f t="shared" ref="H18:H21" si="5">I18+J18+K18</f>
        <v>2000</v>
      </c>
      <c r="I18" s="12"/>
      <c r="J18" s="12">
        <v>2000</v>
      </c>
      <c r="K18" s="12"/>
      <c r="L18" s="12">
        <f t="shared" ref="L18:L21" si="6">M18+N18+O18</f>
        <v>2000</v>
      </c>
      <c r="M18" s="12"/>
      <c r="N18" s="12">
        <v>2000</v>
      </c>
      <c r="O18" s="12"/>
      <c r="P18" s="24">
        <f>H18/D18*100%</f>
        <v>1</v>
      </c>
      <c r="Q18" s="24">
        <f>L18/D18</f>
        <v>1</v>
      </c>
    </row>
    <row r="19" spans="1:17" ht="57" customHeight="1">
      <c r="A19" s="7"/>
      <c r="B19" s="8" t="s">
        <v>527</v>
      </c>
      <c r="C19" s="13">
        <v>873</v>
      </c>
      <c r="D19" s="12">
        <f t="shared" si="4"/>
        <v>873</v>
      </c>
      <c r="E19" s="12"/>
      <c r="F19" s="12">
        <f>C19</f>
        <v>873</v>
      </c>
      <c r="G19" s="12"/>
      <c r="H19" s="12">
        <f t="shared" si="5"/>
        <v>849.7</v>
      </c>
      <c r="I19" s="12"/>
      <c r="J19" s="12">
        <f>849710.32/1000</f>
        <v>849.7</v>
      </c>
      <c r="K19" s="12"/>
      <c r="L19" s="12">
        <f t="shared" si="6"/>
        <v>849.7</v>
      </c>
      <c r="M19" s="12"/>
      <c r="N19" s="12">
        <f>849710.32/1000</f>
        <v>849.7</v>
      </c>
      <c r="O19" s="12"/>
      <c r="P19" s="24">
        <f t="shared" ref="P19:P22" si="7">H19/D19</f>
        <v>0.97299999999999998</v>
      </c>
      <c r="Q19" s="24">
        <f t="shared" ref="Q19:Q22" si="8">L19/D19</f>
        <v>0.97299999999999998</v>
      </c>
    </row>
    <row r="20" spans="1:17" ht="123.6" customHeight="1">
      <c r="A20" s="7"/>
      <c r="B20" s="9" t="s">
        <v>528</v>
      </c>
      <c r="C20" s="12">
        <v>704</v>
      </c>
      <c r="D20" s="12">
        <f t="shared" si="4"/>
        <v>704</v>
      </c>
      <c r="E20" s="12"/>
      <c r="F20" s="12">
        <f>C20</f>
        <v>704</v>
      </c>
      <c r="G20" s="12"/>
      <c r="H20" s="12">
        <f t="shared" si="5"/>
        <v>700.8</v>
      </c>
      <c r="I20" s="12"/>
      <c r="J20" s="12">
        <f>700780/1000</f>
        <v>700.8</v>
      </c>
      <c r="K20" s="12"/>
      <c r="L20" s="12">
        <f t="shared" si="6"/>
        <v>700.8</v>
      </c>
      <c r="M20" s="12"/>
      <c r="N20" s="12">
        <f>700780/1000</f>
        <v>700.8</v>
      </c>
      <c r="O20" s="12"/>
      <c r="P20" s="24">
        <f t="shared" si="7"/>
        <v>0.995</v>
      </c>
      <c r="Q20" s="24">
        <f t="shared" si="8"/>
        <v>0.995</v>
      </c>
    </row>
    <row r="21" spans="1:17" s="3" customFormat="1" ht="109.9" customHeight="1">
      <c r="A21" s="7"/>
      <c r="B21" s="10" t="s">
        <v>21</v>
      </c>
      <c r="C21" s="12">
        <v>183</v>
      </c>
      <c r="D21" s="12">
        <f t="shared" si="4"/>
        <v>183</v>
      </c>
      <c r="E21" s="12"/>
      <c r="F21" s="12">
        <f>C21</f>
        <v>183</v>
      </c>
      <c r="G21" s="12"/>
      <c r="H21" s="12">
        <f t="shared" si="5"/>
        <v>183</v>
      </c>
      <c r="I21" s="12"/>
      <c r="J21" s="12">
        <f>183000/1000</f>
        <v>183</v>
      </c>
      <c r="K21" s="12"/>
      <c r="L21" s="12">
        <f t="shared" si="6"/>
        <v>183</v>
      </c>
      <c r="M21" s="12"/>
      <c r="N21" s="12">
        <f>183000/1000</f>
        <v>183</v>
      </c>
      <c r="O21" s="12"/>
      <c r="P21" s="24">
        <f t="shared" si="7"/>
        <v>1</v>
      </c>
      <c r="Q21" s="24">
        <f t="shared" si="8"/>
        <v>1</v>
      </c>
    </row>
    <row r="22" spans="1:17" s="19" customFormat="1" ht="20.25" customHeight="1">
      <c r="A22" s="20"/>
      <c r="B22" s="21" t="s">
        <v>36</v>
      </c>
      <c r="C22" s="22">
        <f>C16</f>
        <v>3760</v>
      </c>
      <c r="D22" s="22">
        <f t="shared" ref="D22:O22" si="9">D16</f>
        <v>3760</v>
      </c>
      <c r="E22" s="22">
        <f t="shared" si="9"/>
        <v>0</v>
      </c>
      <c r="F22" s="22">
        <f t="shared" si="9"/>
        <v>3760</v>
      </c>
      <c r="G22" s="22">
        <f t="shared" si="9"/>
        <v>0</v>
      </c>
      <c r="H22" s="22">
        <f t="shared" si="9"/>
        <v>3733.5</v>
      </c>
      <c r="I22" s="22">
        <f t="shared" si="9"/>
        <v>0</v>
      </c>
      <c r="J22" s="22">
        <f t="shared" si="9"/>
        <v>3733.5</v>
      </c>
      <c r="K22" s="22">
        <f t="shared" si="9"/>
        <v>0</v>
      </c>
      <c r="L22" s="22">
        <f t="shared" si="9"/>
        <v>3733.5</v>
      </c>
      <c r="M22" s="22">
        <f t="shared" si="9"/>
        <v>0</v>
      </c>
      <c r="N22" s="22">
        <f t="shared" si="9"/>
        <v>3733.5</v>
      </c>
      <c r="O22" s="22">
        <f t="shared" si="9"/>
        <v>0</v>
      </c>
      <c r="P22" s="25">
        <f t="shared" si="7"/>
        <v>0.99299999999999999</v>
      </c>
      <c r="Q22" s="25">
        <f t="shared" si="8"/>
        <v>0.99299999999999999</v>
      </c>
    </row>
    <row r="23" spans="1:17" ht="18.600000000000001" customHeight="1">
      <c r="A23" s="285" t="s">
        <v>34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7"/>
    </row>
    <row r="24" spans="1:17" ht="70.150000000000006" customHeight="1">
      <c r="A24" s="14" t="s">
        <v>24</v>
      </c>
      <c r="B24" s="15" t="s">
        <v>25</v>
      </c>
      <c r="C24" s="16">
        <f>C25+C27</f>
        <v>568</v>
      </c>
      <c r="D24" s="16">
        <f t="shared" ref="D24:O24" si="10">D25+D27</f>
        <v>568</v>
      </c>
      <c r="E24" s="16">
        <f t="shared" si="10"/>
        <v>0</v>
      </c>
      <c r="F24" s="16">
        <f t="shared" si="10"/>
        <v>568</v>
      </c>
      <c r="G24" s="16">
        <f t="shared" si="10"/>
        <v>0</v>
      </c>
      <c r="H24" s="16">
        <f t="shared" si="10"/>
        <v>514.1</v>
      </c>
      <c r="I24" s="16">
        <f t="shared" si="10"/>
        <v>0</v>
      </c>
      <c r="J24" s="16">
        <f t="shared" si="10"/>
        <v>514.1</v>
      </c>
      <c r="K24" s="16">
        <f t="shared" si="10"/>
        <v>0</v>
      </c>
      <c r="L24" s="16">
        <f t="shared" si="10"/>
        <v>514.1</v>
      </c>
      <c r="M24" s="16">
        <f t="shared" si="10"/>
        <v>0</v>
      </c>
      <c r="N24" s="16">
        <f t="shared" si="10"/>
        <v>514.1</v>
      </c>
      <c r="O24" s="16">
        <f t="shared" si="10"/>
        <v>0</v>
      </c>
      <c r="P24" s="23">
        <f t="shared" ref="P24:P26" si="11">H24/D24</f>
        <v>0.90500000000000003</v>
      </c>
      <c r="Q24" s="23">
        <f t="shared" ref="Q24:Q26" si="12">L24/D24</f>
        <v>0.90500000000000003</v>
      </c>
    </row>
    <row r="25" spans="1:17" ht="36.6" customHeight="1">
      <c r="A25" s="14" t="s">
        <v>27</v>
      </c>
      <c r="B25" s="15" t="s">
        <v>28</v>
      </c>
      <c r="C25" s="16">
        <f>C26</f>
        <v>30</v>
      </c>
      <c r="D25" s="16">
        <f t="shared" ref="D25:O25" si="13">D26</f>
        <v>30</v>
      </c>
      <c r="E25" s="16">
        <f t="shared" si="13"/>
        <v>0</v>
      </c>
      <c r="F25" s="16">
        <f t="shared" si="13"/>
        <v>30</v>
      </c>
      <c r="G25" s="16">
        <f t="shared" si="13"/>
        <v>0</v>
      </c>
      <c r="H25" s="16">
        <f t="shared" si="13"/>
        <v>29.1</v>
      </c>
      <c r="I25" s="16">
        <f t="shared" si="13"/>
        <v>0</v>
      </c>
      <c r="J25" s="16">
        <f t="shared" si="13"/>
        <v>29.1</v>
      </c>
      <c r="K25" s="16">
        <f t="shared" si="13"/>
        <v>0</v>
      </c>
      <c r="L25" s="16">
        <f t="shared" si="13"/>
        <v>29.1</v>
      </c>
      <c r="M25" s="16">
        <f t="shared" si="13"/>
        <v>0</v>
      </c>
      <c r="N25" s="16">
        <f t="shared" si="13"/>
        <v>29.1</v>
      </c>
      <c r="O25" s="16">
        <f t="shared" si="13"/>
        <v>0</v>
      </c>
      <c r="P25" s="23">
        <f t="shared" si="11"/>
        <v>0.97</v>
      </c>
      <c r="Q25" s="23">
        <f t="shared" si="12"/>
        <v>0.97</v>
      </c>
    </row>
    <row r="26" spans="1:17" ht="57.6" customHeight="1">
      <c r="A26" s="218"/>
      <c r="B26" s="9" t="s">
        <v>29</v>
      </c>
      <c r="C26" s="12">
        <v>30</v>
      </c>
      <c r="D26" s="12">
        <f t="shared" ref="D26" si="14">E26+F26+G26</f>
        <v>30</v>
      </c>
      <c r="E26" s="12"/>
      <c r="F26" s="12">
        <f>C26</f>
        <v>30</v>
      </c>
      <c r="G26" s="12"/>
      <c r="H26" s="12">
        <f t="shared" ref="H26" si="15">I26+J26+K26</f>
        <v>29.1</v>
      </c>
      <c r="I26" s="12"/>
      <c r="J26" s="12">
        <f>(3510+6480+6600+4860+7689)/1000</f>
        <v>29.1</v>
      </c>
      <c r="K26" s="12"/>
      <c r="L26" s="12">
        <f t="shared" ref="L26" si="16">M26+N26+O26</f>
        <v>29.1</v>
      </c>
      <c r="M26" s="12"/>
      <c r="N26" s="12">
        <f>(3510+6480+6600+4860+7689)/1000</f>
        <v>29.1</v>
      </c>
      <c r="O26" s="12"/>
      <c r="P26" s="24">
        <f t="shared" si="11"/>
        <v>0.97</v>
      </c>
      <c r="Q26" s="24">
        <f t="shared" si="12"/>
        <v>0.97</v>
      </c>
    </row>
    <row r="27" spans="1:17" ht="31.15" customHeight="1">
      <c r="A27" s="14" t="s">
        <v>30</v>
      </c>
      <c r="B27" s="15" t="s">
        <v>31</v>
      </c>
      <c r="C27" s="16">
        <f>C29+C28</f>
        <v>538</v>
      </c>
      <c r="D27" s="16">
        <f t="shared" ref="D27:O27" si="17">D29+D28</f>
        <v>538</v>
      </c>
      <c r="E27" s="16">
        <f t="shared" si="17"/>
        <v>0</v>
      </c>
      <c r="F27" s="16">
        <f t="shared" si="17"/>
        <v>538</v>
      </c>
      <c r="G27" s="16">
        <f t="shared" si="17"/>
        <v>0</v>
      </c>
      <c r="H27" s="16">
        <f t="shared" si="17"/>
        <v>485</v>
      </c>
      <c r="I27" s="16">
        <f t="shared" si="17"/>
        <v>0</v>
      </c>
      <c r="J27" s="16">
        <f t="shared" si="17"/>
        <v>485</v>
      </c>
      <c r="K27" s="16">
        <f t="shared" si="17"/>
        <v>0</v>
      </c>
      <c r="L27" s="16">
        <f t="shared" si="17"/>
        <v>485</v>
      </c>
      <c r="M27" s="16">
        <f t="shared" si="17"/>
        <v>0</v>
      </c>
      <c r="N27" s="16">
        <f t="shared" si="17"/>
        <v>485</v>
      </c>
      <c r="O27" s="16">
        <f t="shared" si="17"/>
        <v>0</v>
      </c>
      <c r="P27" s="23">
        <v>0</v>
      </c>
      <c r="Q27" s="23">
        <v>0</v>
      </c>
    </row>
    <row r="28" spans="1:17" ht="16.899999999999999" customHeight="1">
      <c r="A28" s="218"/>
      <c r="B28" s="9" t="s">
        <v>529</v>
      </c>
      <c r="C28" s="12">
        <v>229</v>
      </c>
      <c r="D28" s="12">
        <f>E28+F28+G28</f>
        <v>229</v>
      </c>
      <c r="E28" s="12"/>
      <c r="F28" s="12">
        <f>C28</f>
        <v>229</v>
      </c>
      <c r="G28" s="12"/>
      <c r="H28" s="12">
        <f>I28+J28+K28</f>
        <v>177.5</v>
      </c>
      <c r="I28" s="12"/>
      <c r="J28" s="12">
        <f>(100000+70000)/1000+7500/1000</f>
        <v>177.5</v>
      </c>
      <c r="K28" s="12"/>
      <c r="L28" s="12">
        <f>M28+N28+O28</f>
        <v>177.5</v>
      </c>
      <c r="M28" s="12"/>
      <c r="N28" s="12">
        <f>(100000+70000)/1000+7500/1000</f>
        <v>177.5</v>
      </c>
      <c r="O28" s="12"/>
      <c r="P28" s="24">
        <f t="shared" ref="P28:P29" si="18">H28/D28</f>
        <v>0.77500000000000002</v>
      </c>
      <c r="Q28" s="24">
        <f t="shared" ref="Q28:Q31" si="19">L28/D28</f>
        <v>0.77500000000000002</v>
      </c>
    </row>
    <row r="29" spans="1:17" ht="28.15" customHeight="1">
      <c r="A29" s="218"/>
      <c r="B29" s="9" t="s">
        <v>32</v>
      </c>
      <c r="C29" s="12">
        <v>309</v>
      </c>
      <c r="D29" s="12">
        <f>E29+F29+G29</f>
        <v>309</v>
      </c>
      <c r="E29" s="12"/>
      <c r="F29" s="12">
        <f>C29</f>
        <v>309</v>
      </c>
      <c r="G29" s="12"/>
      <c r="H29" s="12">
        <f>I29+J29+K29</f>
        <v>307.5</v>
      </c>
      <c r="I29" s="12"/>
      <c r="J29" s="12">
        <f>(100000+100000+100000)/1000+7500/1000</f>
        <v>307.5</v>
      </c>
      <c r="K29" s="12"/>
      <c r="L29" s="12">
        <f>M29+N29+O29</f>
        <v>307.5</v>
      </c>
      <c r="M29" s="12"/>
      <c r="N29" s="12">
        <f>(100000+100000+100000)/1000+7500/1000</f>
        <v>307.5</v>
      </c>
      <c r="O29" s="12"/>
      <c r="P29" s="24">
        <f t="shared" si="18"/>
        <v>0.995</v>
      </c>
      <c r="Q29" s="24">
        <f t="shared" si="19"/>
        <v>0.995</v>
      </c>
    </row>
    <row r="30" spans="1:17" s="19" customFormat="1" ht="19.149999999999999" customHeight="1">
      <c r="A30" s="20"/>
      <c r="B30" s="21" t="s">
        <v>37</v>
      </c>
      <c r="C30" s="22">
        <f>C24</f>
        <v>568</v>
      </c>
      <c r="D30" s="22">
        <f t="shared" ref="D30:O30" si="20">D24</f>
        <v>568</v>
      </c>
      <c r="E30" s="22">
        <f t="shared" si="20"/>
        <v>0</v>
      </c>
      <c r="F30" s="22">
        <f t="shared" si="20"/>
        <v>568</v>
      </c>
      <c r="G30" s="22">
        <f t="shared" si="20"/>
        <v>0</v>
      </c>
      <c r="H30" s="22">
        <f t="shared" si="20"/>
        <v>514.1</v>
      </c>
      <c r="I30" s="22">
        <f t="shared" si="20"/>
        <v>0</v>
      </c>
      <c r="J30" s="22">
        <f t="shared" si="20"/>
        <v>514.1</v>
      </c>
      <c r="K30" s="22">
        <f t="shared" si="20"/>
        <v>0</v>
      </c>
      <c r="L30" s="22">
        <f t="shared" si="20"/>
        <v>514.1</v>
      </c>
      <c r="M30" s="22">
        <f t="shared" si="20"/>
        <v>0</v>
      </c>
      <c r="N30" s="22">
        <f t="shared" si="20"/>
        <v>514.1</v>
      </c>
      <c r="O30" s="22">
        <f t="shared" si="20"/>
        <v>0</v>
      </c>
      <c r="P30" s="25">
        <f>H30/D30</f>
        <v>0.90500000000000003</v>
      </c>
      <c r="Q30" s="25">
        <f t="shared" si="19"/>
        <v>0.90500000000000003</v>
      </c>
    </row>
    <row r="31" spans="1:17" s="30" customFormat="1" ht="24" customHeight="1">
      <c r="A31" s="26"/>
      <c r="B31" s="27" t="s">
        <v>35</v>
      </c>
      <c r="C31" s="28">
        <f t="shared" ref="C31:O31" si="21">C22+C30</f>
        <v>4328</v>
      </c>
      <c r="D31" s="28">
        <f t="shared" si="21"/>
        <v>4328</v>
      </c>
      <c r="E31" s="28">
        <f t="shared" si="21"/>
        <v>0</v>
      </c>
      <c r="F31" s="28">
        <f t="shared" si="21"/>
        <v>4328</v>
      </c>
      <c r="G31" s="28">
        <f t="shared" si="21"/>
        <v>0</v>
      </c>
      <c r="H31" s="28">
        <f t="shared" si="21"/>
        <v>4247.6000000000004</v>
      </c>
      <c r="I31" s="28">
        <f t="shared" si="21"/>
        <v>0</v>
      </c>
      <c r="J31" s="28">
        <f t="shared" si="21"/>
        <v>4247.6000000000004</v>
      </c>
      <c r="K31" s="28">
        <f t="shared" si="21"/>
        <v>0</v>
      </c>
      <c r="L31" s="28">
        <f t="shared" si="21"/>
        <v>4247.6000000000004</v>
      </c>
      <c r="M31" s="28">
        <f t="shared" si="21"/>
        <v>0</v>
      </c>
      <c r="N31" s="28">
        <f t="shared" si="21"/>
        <v>4247.6000000000004</v>
      </c>
      <c r="O31" s="28">
        <f t="shared" si="21"/>
        <v>0</v>
      </c>
      <c r="P31" s="29">
        <f>H31/D31</f>
        <v>0.98099999999999998</v>
      </c>
      <c r="Q31" s="29">
        <f t="shared" si="19"/>
        <v>0.98099999999999998</v>
      </c>
    </row>
    <row r="32" spans="1:17" ht="51.75" customHeight="1">
      <c r="C32" s="237"/>
    </row>
    <row r="33" ht="51.75" customHeight="1"/>
    <row r="34" ht="36" customHeight="1"/>
    <row r="35" ht="21" customHeight="1"/>
    <row r="36" ht="21" customHeight="1"/>
  </sheetData>
  <mergeCells count="24">
    <mergeCell ref="L1:Q1"/>
    <mergeCell ref="A3:Q3"/>
    <mergeCell ref="A4:Q4"/>
    <mergeCell ref="A5:Q5"/>
    <mergeCell ref="A6:Q6"/>
    <mergeCell ref="A7:Q7"/>
    <mergeCell ref="A8:Q8"/>
    <mergeCell ref="A10:A13"/>
    <mergeCell ref="B10:B13"/>
    <mergeCell ref="C10:C13"/>
    <mergeCell ref="D10:Q10"/>
    <mergeCell ref="D11:G11"/>
    <mergeCell ref="H11:K11"/>
    <mergeCell ref="L11:O11"/>
    <mergeCell ref="P11:P13"/>
    <mergeCell ref="A15:Q15"/>
    <mergeCell ref="A23:Q23"/>
    <mergeCell ref="Q11:Q13"/>
    <mergeCell ref="D12:D13"/>
    <mergeCell ref="E12:G12"/>
    <mergeCell ref="H12:H13"/>
    <mergeCell ref="I12:K12"/>
    <mergeCell ref="L12:L13"/>
    <mergeCell ref="M12:O12"/>
  </mergeCells>
  <phoneticPr fontId="2" type="noConversion"/>
  <printOptions horizontalCentered="1"/>
  <pageMargins left="0" right="0" top="0.59055118110236227" bottom="0" header="0" footer="0"/>
  <pageSetup paperSize="9" scale="75" orientation="landscape" r:id="rId1"/>
  <rowBreaks count="2" manualBreakCount="2">
    <brk id="17" max="16" man="1"/>
    <brk id="2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topLeftCell="A37" zoomScale="60" zoomScaleNormal="70" workbookViewId="0">
      <selection activeCell="B39" sqref="B39"/>
    </sheetView>
  </sheetViews>
  <sheetFormatPr defaultRowHeight="15"/>
  <cols>
    <col min="1" max="1" width="6.7109375" style="42" customWidth="1"/>
    <col min="2" max="2" width="32.85546875" style="42" customWidth="1"/>
    <col min="3" max="3" width="12.42578125" style="42" customWidth="1"/>
    <col min="4" max="4" width="13.42578125" style="42" customWidth="1"/>
    <col min="5" max="6" width="12.85546875" style="42" customWidth="1"/>
    <col min="7" max="7" width="8.7109375" style="42" customWidth="1"/>
    <col min="8" max="8" width="13.140625" style="43" customWidth="1"/>
    <col min="9" max="9" width="11.28515625" style="43" customWidth="1"/>
    <col min="10" max="10" width="13.42578125" style="42" customWidth="1"/>
    <col min="11" max="11" width="8.28515625" style="42" customWidth="1"/>
    <col min="12" max="13" width="11.42578125" style="85" customWidth="1"/>
    <col min="14" max="14" width="13.5703125" style="42" customWidth="1"/>
    <col min="15" max="15" width="8" style="42" customWidth="1"/>
    <col min="16" max="16" width="11.42578125" style="42" customWidth="1"/>
    <col min="17" max="17" width="11.7109375" style="42" customWidth="1"/>
    <col min="18" max="18" width="13.42578125" style="42" customWidth="1"/>
    <col min="19" max="19" width="10.7109375" style="42" customWidth="1"/>
    <col min="20" max="20" width="11.42578125" style="42" customWidth="1"/>
    <col min="21" max="21" width="13" style="42" customWidth="1"/>
    <col min="22" max="22" width="17.85546875" style="42" customWidth="1"/>
    <col min="23" max="256" width="8.85546875" style="42"/>
    <col min="257" max="257" width="6.7109375" style="42" customWidth="1"/>
    <col min="258" max="258" width="32.85546875" style="42" customWidth="1"/>
    <col min="259" max="259" width="12.42578125" style="42" customWidth="1"/>
    <col min="260" max="260" width="13.42578125" style="42" customWidth="1"/>
    <col min="261" max="262" width="12.85546875" style="42" customWidth="1"/>
    <col min="263" max="263" width="8.7109375" style="42" customWidth="1"/>
    <col min="264" max="264" width="13.140625" style="42" customWidth="1"/>
    <col min="265" max="265" width="11.28515625" style="42" customWidth="1"/>
    <col min="266" max="266" width="13.42578125" style="42" customWidth="1"/>
    <col min="267" max="267" width="8.28515625" style="42" customWidth="1"/>
    <col min="268" max="269" width="11.42578125" style="42" customWidth="1"/>
    <col min="270" max="270" width="13.5703125" style="42" customWidth="1"/>
    <col min="271" max="271" width="8" style="42" customWidth="1"/>
    <col min="272" max="272" width="11.42578125" style="42" customWidth="1"/>
    <col min="273" max="273" width="11.7109375" style="42" customWidth="1"/>
    <col min="274" max="274" width="13.42578125" style="42" customWidth="1"/>
    <col min="275" max="275" width="10.7109375" style="42" customWidth="1"/>
    <col min="276" max="276" width="11.42578125" style="42" customWidth="1"/>
    <col min="277" max="277" width="13" style="42" customWidth="1"/>
    <col min="278" max="278" width="17.85546875" style="42" customWidth="1"/>
    <col min="279" max="512" width="8.85546875" style="42"/>
    <col min="513" max="513" width="6.7109375" style="42" customWidth="1"/>
    <col min="514" max="514" width="32.85546875" style="42" customWidth="1"/>
    <col min="515" max="515" width="12.42578125" style="42" customWidth="1"/>
    <col min="516" max="516" width="13.42578125" style="42" customWidth="1"/>
    <col min="517" max="518" width="12.85546875" style="42" customWidth="1"/>
    <col min="519" max="519" width="8.7109375" style="42" customWidth="1"/>
    <col min="520" max="520" width="13.140625" style="42" customWidth="1"/>
    <col min="521" max="521" width="11.28515625" style="42" customWidth="1"/>
    <col min="522" max="522" width="13.42578125" style="42" customWidth="1"/>
    <col min="523" max="523" width="8.28515625" style="42" customWidth="1"/>
    <col min="524" max="525" width="11.42578125" style="42" customWidth="1"/>
    <col min="526" max="526" width="13.5703125" style="42" customWidth="1"/>
    <col min="527" max="527" width="8" style="42" customWidth="1"/>
    <col min="528" max="528" width="11.42578125" style="42" customWidth="1"/>
    <col min="529" max="529" width="11.7109375" style="42" customWidth="1"/>
    <col min="530" max="530" width="13.42578125" style="42" customWidth="1"/>
    <col min="531" max="531" width="10.7109375" style="42" customWidth="1"/>
    <col min="532" max="532" width="11.42578125" style="42" customWidth="1"/>
    <col min="533" max="533" width="13" style="42" customWidth="1"/>
    <col min="534" max="534" width="17.85546875" style="42" customWidth="1"/>
    <col min="535" max="768" width="8.85546875" style="42"/>
    <col min="769" max="769" width="6.7109375" style="42" customWidth="1"/>
    <col min="770" max="770" width="32.85546875" style="42" customWidth="1"/>
    <col min="771" max="771" width="12.42578125" style="42" customWidth="1"/>
    <col min="772" max="772" width="13.42578125" style="42" customWidth="1"/>
    <col min="773" max="774" width="12.85546875" style="42" customWidth="1"/>
    <col min="775" max="775" width="8.7109375" style="42" customWidth="1"/>
    <col min="776" max="776" width="13.140625" style="42" customWidth="1"/>
    <col min="777" max="777" width="11.28515625" style="42" customWidth="1"/>
    <col min="778" max="778" width="13.42578125" style="42" customWidth="1"/>
    <col min="779" max="779" width="8.28515625" style="42" customWidth="1"/>
    <col min="780" max="781" width="11.42578125" style="42" customWidth="1"/>
    <col min="782" max="782" width="13.5703125" style="42" customWidth="1"/>
    <col min="783" max="783" width="8" style="42" customWidth="1"/>
    <col min="784" max="784" width="11.42578125" style="42" customWidth="1"/>
    <col min="785" max="785" width="11.7109375" style="42" customWidth="1"/>
    <col min="786" max="786" width="13.42578125" style="42" customWidth="1"/>
    <col min="787" max="787" width="10.7109375" style="42" customWidth="1"/>
    <col min="788" max="788" width="11.42578125" style="42" customWidth="1"/>
    <col min="789" max="789" width="13" style="42" customWidth="1"/>
    <col min="790" max="790" width="17.85546875" style="42" customWidth="1"/>
    <col min="791" max="1024" width="8.85546875" style="42"/>
    <col min="1025" max="1025" width="6.7109375" style="42" customWidth="1"/>
    <col min="1026" max="1026" width="32.85546875" style="42" customWidth="1"/>
    <col min="1027" max="1027" width="12.42578125" style="42" customWidth="1"/>
    <col min="1028" max="1028" width="13.42578125" style="42" customWidth="1"/>
    <col min="1029" max="1030" width="12.85546875" style="42" customWidth="1"/>
    <col min="1031" max="1031" width="8.7109375" style="42" customWidth="1"/>
    <col min="1032" max="1032" width="13.140625" style="42" customWidth="1"/>
    <col min="1033" max="1033" width="11.28515625" style="42" customWidth="1"/>
    <col min="1034" max="1034" width="13.42578125" style="42" customWidth="1"/>
    <col min="1035" max="1035" width="8.28515625" style="42" customWidth="1"/>
    <col min="1036" max="1037" width="11.42578125" style="42" customWidth="1"/>
    <col min="1038" max="1038" width="13.5703125" style="42" customWidth="1"/>
    <col min="1039" max="1039" width="8" style="42" customWidth="1"/>
    <col min="1040" max="1040" width="11.42578125" style="42" customWidth="1"/>
    <col min="1041" max="1041" width="11.7109375" style="42" customWidth="1"/>
    <col min="1042" max="1042" width="13.42578125" style="42" customWidth="1"/>
    <col min="1043" max="1043" width="10.7109375" style="42" customWidth="1"/>
    <col min="1044" max="1044" width="11.42578125" style="42" customWidth="1"/>
    <col min="1045" max="1045" width="13" style="42" customWidth="1"/>
    <col min="1046" max="1046" width="17.85546875" style="42" customWidth="1"/>
    <col min="1047" max="1280" width="8.85546875" style="42"/>
    <col min="1281" max="1281" width="6.7109375" style="42" customWidth="1"/>
    <col min="1282" max="1282" width="32.85546875" style="42" customWidth="1"/>
    <col min="1283" max="1283" width="12.42578125" style="42" customWidth="1"/>
    <col min="1284" max="1284" width="13.42578125" style="42" customWidth="1"/>
    <col min="1285" max="1286" width="12.85546875" style="42" customWidth="1"/>
    <col min="1287" max="1287" width="8.7109375" style="42" customWidth="1"/>
    <col min="1288" max="1288" width="13.140625" style="42" customWidth="1"/>
    <col min="1289" max="1289" width="11.28515625" style="42" customWidth="1"/>
    <col min="1290" max="1290" width="13.42578125" style="42" customWidth="1"/>
    <col min="1291" max="1291" width="8.28515625" style="42" customWidth="1"/>
    <col min="1292" max="1293" width="11.42578125" style="42" customWidth="1"/>
    <col min="1294" max="1294" width="13.5703125" style="42" customWidth="1"/>
    <col min="1295" max="1295" width="8" style="42" customWidth="1"/>
    <col min="1296" max="1296" width="11.42578125" style="42" customWidth="1"/>
    <col min="1297" max="1297" width="11.7109375" style="42" customWidth="1"/>
    <col min="1298" max="1298" width="13.42578125" style="42" customWidth="1"/>
    <col min="1299" max="1299" width="10.7109375" style="42" customWidth="1"/>
    <col min="1300" max="1300" width="11.42578125" style="42" customWidth="1"/>
    <col min="1301" max="1301" width="13" style="42" customWidth="1"/>
    <col min="1302" max="1302" width="17.85546875" style="42" customWidth="1"/>
    <col min="1303" max="1536" width="8.85546875" style="42"/>
    <col min="1537" max="1537" width="6.7109375" style="42" customWidth="1"/>
    <col min="1538" max="1538" width="32.85546875" style="42" customWidth="1"/>
    <col min="1539" max="1539" width="12.42578125" style="42" customWidth="1"/>
    <col min="1540" max="1540" width="13.42578125" style="42" customWidth="1"/>
    <col min="1541" max="1542" width="12.85546875" style="42" customWidth="1"/>
    <col min="1543" max="1543" width="8.7109375" style="42" customWidth="1"/>
    <col min="1544" max="1544" width="13.140625" style="42" customWidth="1"/>
    <col min="1545" max="1545" width="11.28515625" style="42" customWidth="1"/>
    <col min="1546" max="1546" width="13.42578125" style="42" customWidth="1"/>
    <col min="1547" max="1547" width="8.28515625" style="42" customWidth="1"/>
    <col min="1548" max="1549" width="11.42578125" style="42" customWidth="1"/>
    <col min="1550" max="1550" width="13.5703125" style="42" customWidth="1"/>
    <col min="1551" max="1551" width="8" style="42" customWidth="1"/>
    <col min="1552" max="1552" width="11.42578125" style="42" customWidth="1"/>
    <col min="1553" max="1553" width="11.7109375" style="42" customWidth="1"/>
    <col min="1554" max="1554" width="13.42578125" style="42" customWidth="1"/>
    <col min="1555" max="1555" width="10.7109375" style="42" customWidth="1"/>
    <col min="1556" max="1556" width="11.42578125" style="42" customWidth="1"/>
    <col min="1557" max="1557" width="13" style="42" customWidth="1"/>
    <col min="1558" max="1558" width="17.85546875" style="42" customWidth="1"/>
    <col min="1559" max="1792" width="8.85546875" style="42"/>
    <col min="1793" max="1793" width="6.7109375" style="42" customWidth="1"/>
    <col min="1794" max="1794" width="32.85546875" style="42" customWidth="1"/>
    <col min="1795" max="1795" width="12.42578125" style="42" customWidth="1"/>
    <col min="1796" max="1796" width="13.42578125" style="42" customWidth="1"/>
    <col min="1797" max="1798" width="12.85546875" style="42" customWidth="1"/>
    <col min="1799" max="1799" width="8.7109375" style="42" customWidth="1"/>
    <col min="1800" max="1800" width="13.140625" style="42" customWidth="1"/>
    <col min="1801" max="1801" width="11.28515625" style="42" customWidth="1"/>
    <col min="1802" max="1802" width="13.42578125" style="42" customWidth="1"/>
    <col min="1803" max="1803" width="8.28515625" style="42" customWidth="1"/>
    <col min="1804" max="1805" width="11.42578125" style="42" customWidth="1"/>
    <col min="1806" max="1806" width="13.5703125" style="42" customWidth="1"/>
    <col min="1807" max="1807" width="8" style="42" customWidth="1"/>
    <col min="1808" max="1808" width="11.42578125" style="42" customWidth="1"/>
    <col min="1809" max="1809" width="11.7109375" style="42" customWidth="1"/>
    <col min="1810" max="1810" width="13.42578125" style="42" customWidth="1"/>
    <col min="1811" max="1811" width="10.7109375" style="42" customWidth="1"/>
    <col min="1812" max="1812" width="11.42578125" style="42" customWidth="1"/>
    <col min="1813" max="1813" width="13" style="42" customWidth="1"/>
    <col min="1814" max="1814" width="17.85546875" style="42" customWidth="1"/>
    <col min="1815" max="2048" width="8.85546875" style="42"/>
    <col min="2049" max="2049" width="6.7109375" style="42" customWidth="1"/>
    <col min="2050" max="2050" width="32.85546875" style="42" customWidth="1"/>
    <col min="2051" max="2051" width="12.42578125" style="42" customWidth="1"/>
    <col min="2052" max="2052" width="13.42578125" style="42" customWidth="1"/>
    <col min="2053" max="2054" width="12.85546875" style="42" customWidth="1"/>
    <col min="2055" max="2055" width="8.7109375" style="42" customWidth="1"/>
    <col min="2056" max="2056" width="13.140625" style="42" customWidth="1"/>
    <col min="2057" max="2057" width="11.28515625" style="42" customWidth="1"/>
    <col min="2058" max="2058" width="13.42578125" style="42" customWidth="1"/>
    <col min="2059" max="2059" width="8.28515625" style="42" customWidth="1"/>
    <col min="2060" max="2061" width="11.42578125" style="42" customWidth="1"/>
    <col min="2062" max="2062" width="13.5703125" style="42" customWidth="1"/>
    <col min="2063" max="2063" width="8" style="42" customWidth="1"/>
    <col min="2064" max="2064" width="11.42578125" style="42" customWidth="1"/>
    <col min="2065" max="2065" width="11.7109375" style="42" customWidth="1"/>
    <col min="2066" max="2066" width="13.42578125" style="42" customWidth="1"/>
    <col min="2067" max="2067" width="10.7109375" style="42" customWidth="1"/>
    <col min="2068" max="2068" width="11.42578125" style="42" customWidth="1"/>
    <col min="2069" max="2069" width="13" style="42" customWidth="1"/>
    <col min="2070" max="2070" width="17.85546875" style="42" customWidth="1"/>
    <col min="2071" max="2304" width="8.85546875" style="42"/>
    <col min="2305" max="2305" width="6.7109375" style="42" customWidth="1"/>
    <col min="2306" max="2306" width="32.85546875" style="42" customWidth="1"/>
    <col min="2307" max="2307" width="12.42578125" style="42" customWidth="1"/>
    <col min="2308" max="2308" width="13.42578125" style="42" customWidth="1"/>
    <col min="2309" max="2310" width="12.85546875" style="42" customWidth="1"/>
    <col min="2311" max="2311" width="8.7109375" style="42" customWidth="1"/>
    <col min="2312" max="2312" width="13.140625" style="42" customWidth="1"/>
    <col min="2313" max="2313" width="11.28515625" style="42" customWidth="1"/>
    <col min="2314" max="2314" width="13.42578125" style="42" customWidth="1"/>
    <col min="2315" max="2315" width="8.28515625" style="42" customWidth="1"/>
    <col min="2316" max="2317" width="11.42578125" style="42" customWidth="1"/>
    <col min="2318" max="2318" width="13.5703125" style="42" customWidth="1"/>
    <col min="2319" max="2319" width="8" style="42" customWidth="1"/>
    <col min="2320" max="2320" width="11.42578125" style="42" customWidth="1"/>
    <col min="2321" max="2321" width="11.7109375" style="42" customWidth="1"/>
    <col min="2322" max="2322" width="13.42578125" style="42" customWidth="1"/>
    <col min="2323" max="2323" width="10.7109375" style="42" customWidth="1"/>
    <col min="2324" max="2324" width="11.42578125" style="42" customWidth="1"/>
    <col min="2325" max="2325" width="13" style="42" customWidth="1"/>
    <col min="2326" max="2326" width="17.85546875" style="42" customWidth="1"/>
    <col min="2327" max="2560" width="8.85546875" style="42"/>
    <col min="2561" max="2561" width="6.7109375" style="42" customWidth="1"/>
    <col min="2562" max="2562" width="32.85546875" style="42" customWidth="1"/>
    <col min="2563" max="2563" width="12.42578125" style="42" customWidth="1"/>
    <col min="2564" max="2564" width="13.42578125" style="42" customWidth="1"/>
    <col min="2565" max="2566" width="12.85546875" style="42" customWidth="1"/>
    <col min="2567" max="2567" width="8.7109375" style="42" customWidth="1"/>
    <col min="2568" max="2568" width="13.140625" style="42" customWidth="1"/>
    <col min="2569" max="2569" width="11.28515625" style="42" customWidth="1"/>
    <col min="2570" max="2570" width="13.42578125" style="42" customWidth="1"/>
    <col min="2571" max="2571" width="8.28515625" style="42" customWidth="1"/>
    <col min="2572" max="2573" width="11.42578125" style="42" customWidth="1"/>
    <col min="2574" max="2574" width="13.5703125" style="42" customWidth="1"/>
    <col min="2575" max="2575" width="8" style="42" customWidth="1"/>
    <col min="2576" max="2576" width="11.42578125" style="42" customWidth="1"/>
    <col min="2577" max="2577" width="11.7109375" style="42" customWidth="1"/>
    <col min="2578" max="2578" width="13.42578125" style="42" customWidth="1"/>
    <col min="2579" max="2579" width="10.7109375" style="42" customWidth="1"/>
    <col min="2580" max="2580" width="11.42578125" style="42" customWidth="1"/>
    <col min="2581" max="2581" width="13" style="42" customWidth="1"/>
    <col min="2582" max="2582" width="17.85546875" style="42" customWidth="1"/>
    <col min="2583" max="2816" width="8.85546875" style="42"/>
    <col min="2817" max="2817" width="6.7109375" style="42" customWidth="1"/>
    <col min="2818" max="2818" width="32.85546875" style="42" customWidth="1"/>
    <col min="2819" max="2819" width="12.42578125" style="42" customWidth="1"/>
    <col min="2820" max="2820" width="13.42578125" style="42" customWidth="1"/>
    <col min="2821" max="2822" width="12.85546875" style="42" customWidth="1"/>
    <col min="2823" max="2823" width="8.7109375" style="42" customWidth="1"/>
    <col min="2824" max="2824" width="13.140625" style="42" customWidth="1"/>
    <col min="2825" max="2825" width="11.28515625" style="42" customWidth="1"/>
    <col min="2826" max="2826" width="13.42578125" style="42" customWidth="1"/>
    <col min="2827" max="2827" width="8.28515625" style="42" customWidth="1"/>
    <col min="2828" max="2829" width="11.42578125" style="42" customWidth="1"/>
    <col min="2830" max="2830" width="13.5703125" style="42" customWidth="1"/>
    <col min="2831" max="2831" width="8" style="42" customWidth="1"/>
    <col min="2832" max="2832" width="11.42578125" style="42" customWidth="1"/>
    <col min="2833" max="2833" width="11.7109375" style="42" customWidth="1"/>
    <col min="2834" max="2834" width="13.42578125" style="42" customWidth="1"/>
    <col min="2835" max="2835" width="10.7109375" style="42" customWidth="1"/>
    <col min="2836" max="2836" width="11.42578125" style="42" customWidth="1"/>
    <col min="2837" max="2837" width="13" style="42" customWidth="1"/>
    <col min="2838" max="2838" width="17.85546875" style="42" customWidth="1"/>
    <col min="2839" max="3072" width="8.85546875" style="42"/>
    <col min="3073" max="3073" width="6.7109375" style="42" customWidth="1"/>
    <col min="3074" max="3074" width="32.85546875" style="42" customWidth="1"/>
    <col min="3075" max="3075" width="12.42578125" style="42" customWidth="1"/>
    <col min="3076" max="3076" width="13.42578125" style="42" customWidth="1"/>
    <col min="3077" max="3078" width="12.85546875" style="42" customWidth="1"/>
    <col min="3079" max="3079" width="8.7109375" style="42" customWidth="1"/>
    <col min="3080" max="3080" width="13.140625" style="42" customWidth="1"/>
    <col min="3081" max="3081" width="11.28515625" style="42" customWidth="1"/>
    <col min="3082" max="3082" width="13.42578125" style="42" customWidth="1"/>
    <col min="3083" max="3083" width="8.28515625" style="42" customWidth="1"/>
    <col min="3084" max="3085" width="11.42578125" style="42" customWidth="1"/>
    <col min="3086" max="3086" width="13.5703125" style="42" customWidth="1"/>
    <col min="3087" max="3087" width="8" style="42" customWidth="1"/>
    <col min="3088" max="3088" width="11.42578125" style="42" customWidth="1"/>
    <col min="3089" max="3089" width="11.7109375" style="42" customWidth="1"/>
    <col min="3090" max="3090" width="13.42578125" style="42" customWidth="1"/>
    <col min="3091" max="3091" width="10.7109375" style="42" customWidth="1"/>
    <col min="3092" max="3092" width="11.42578125" style="42" customWidth="1"/>
    <col min="3093" max="3093" width="13" style="42" customWidth="1"/>
    <col min="3094" max="3094" width="17.85546875" style="42" customWidth="1"/>
    <col min="3095" max="3328" width="8.85546875" style="42"/>
    <col min="3329" max="3329" width="6.7109375" style="42" customWidth="1"/>
    <col min="3330" max="3330" width="32.85546875" style="42" customWidth="1"/>
    <col min="3331" max="3331" width="12.42578125" style="42" customWidth="1"/>
    <col min="3332" max="3332" width="13.42578125" style="42" customWidth="1"/>
    <col min="3333" max="3334" width="12.85546875" style="42" customWidth="1"/>
    <col min="3335" max="3335" width="8.7109375" style="42" customWidth="1"/>
    <col min="3336" max="3336" width="13.140625" style="42" customWidth="1"/>
    <col min="3337" max="3337" width="11.28515625" style="42" customWidth="1"/>
    <col min="3338" max="3338" width="13.42578125" style="42" customWidth="1"/>
    <col min="3339" max="3339" width="8.28515625" style="42" customWidth="1"/>
    <col min="3340" max="3341" width="11.42578125" style="42" customWidth="1"/>
    <col min="3342" max="3342" width="13.5703125" style="42" customWidth="1"/>
    <col min="3343" max="3343" width="8" style="42" customWidth="1"/>
    <col min="3344" max="3344" width="11.42578125" style="42" customWidth="1"/>
    <col min="3345" max="3345" width="11.7109375" style="42" customWidth="1"/>
    <col min="3346" max="3346" width="13.42578125" style="42" customWidth="1"/>
    <col min="3347" max="3347" width="10.7109375" style="42" customWidth="1"/>
    <col min="3348" max="3348" width="11.42578125" style="42" customWidth="1"/>
    <col min="3349" max="3349" width="13" style="42" customWidth="1"/>
    <col min="3350" max="3350" width="17.85546875" style="42" customWidth="1"/>
    <col min="3351" max="3584" width="8.85546875" style="42"/>
    <col min="3585" max="3585" width="6.7109375" style="42" customWidth="1"/>
    <col min="3586" max="3586" width="32.85546875" style="42" customWidth="1"/>
    <col min="3587" max="3587" width="12.42578125" style="42" customWidth="1"/>
    <col min="3588" max="3588" width="13.42578125" style="42" customWidth="1"/>
    <col min="3589" max="3590" width="12.85546875" style="42" customWidth="1"/>
    <col min="3591" max="3591" width="8.7109375" style="42" customWidth="1"/>
    <col min="3592" max="3592" width="13.140625" style="42" customWidth="1"/>
    <col min="3593" max="3593" width="11.28515625" style="42" customWidth="1"/>
    <col min="3594" max="3594" width="13.42578125" style="42" customWidth="1"/>
    <col min="3595" max="3595" width="8.28515625" style="42" customWidth="1"/>
    <col min="3596" max="3597" width="11.42578125" style="42" customWidth="1"/>
    <col min="3598" max="3598" width="13.5703125" style="42" customWidth="1"/>
    <col min="3599" max="3599" width="8" style="42" customWidth="1"/>
    <col min="3600" max="3600" width="11.42578125" style="42" customWidth="1"/>
    <col min="3601" max="3601" width="11.7109375" style="42" customWidth="1"/>
    <col min="3602" max="3602" width="13.42578125" style="42" customWidth="1"/>
    <col min="3603" max="3603" width="10.7109375" style="42" customWidth="1"/>
    <col min="3604" max="3604" width="11.42578125" style="42" customWidth="1"/>
    <col min="3605" max="3605" width="13" style="42" customWidth="1"/>
    <col min="3606" max="3606" width="17.85546875" style="42" customWidth="1"/>
    <col min="3607" max="3840" width="8.85546875" style="42"/>
    <col min="3841" max="3841" width="6.7109375" style="42" customWidth="1"/>
    <col min="3842" max="3842" width="32.85546875" style="42" customWidth="1"/>
    <col min="3843" max="3843" width="12.42578125" style="42" customWidth="1"/>
    <col min="3844" max="3844" width="13.42578125" style="42" customWidth="1"/>
    <col min="3845" max="3846" width="12.85546875" style="42" customWidth="1"/>
    <col min="3847" max="3847" width="8.7109375" style="42" customWidth="1"/>
    <col min="3848" max="3848" width="13.140625" style="42" customWidth="1"/>
    <col min="3849" max="3849" width="11.28515625" style="42" customWidth="1"/>
    <col min="3850" max="3850" width="13.42578125" style="42" customWidth="1"/>
    <col min="3851" max="3851" width="8.28515625" style="42" customWidth="1"/>
    <col min="3852" max="3853" width="11.42578125" style="42" customWidth="1"/>
    <col min="3854" max="3854" width="13.5703125" style="42" customWidth="1"/>
    <col min="3855" max="3855" width="8" style="42" customWidth="1"/>
    <col min="3856" max="3856" width="11.42578125" style="42" customWidth="1"/>
    <col min="3857" max="3857" width="11.7109375" style="42" customWidth="1"/>
    <col min="3858" max="3858" width="13.42578125" style="42" customWidth="1"/>
    <col min="3859" max="3859" width="10.7109375" style="42" customWidth="1"/>
    <col min="3860" max="3860" width="11.42578125" style="42" customWidth="1"/>
    <col min="3861" max="3861" width="13" style="42" customWidth="1"/>
    <col min="3862" max="3862" width="17.85546875" style="42" customWidth="1"/>
    <col min="3863" max="4096" width="8.85546875" style="42"/>
    <col min="4097" max="4097" width="6.7109375" style="42" customWidth="1"/>
    <col min="4098" max="4098" width="32.85546875" style="42" customWidth="1"/>
    <col min="4099" max="4099" width="12.42578125" style="42" customWidth="1"/>
    <col min="4100" max="4100" width="13.42578125" style="42" customWidth="1"/>
    <col min="4101" max="4102" width="12.85546875" style="42" customWidth="1"/>
    <col min="4103" max="4103" width="8.7109375" style="42" customWidth="1"/>
    <col min="4104" max="4104" width="13.140625" style="42" customWidth="1"/>
    <col min="4105" max="4105" width="11.28515625" style="42" customWidth="1"/>
    <col min="4106" max="4106" width="13.42578125" style="42" customWidth="1"/>
    <col min="4107" max="4107" width="8.28515625" style="42" customWidth="1"/>
    <col min="4108" max="4109" width="11.42578125" style="42" customWidth="1"/>
    <col min="4110" max="4110" width="13.5703125" style="42" customWidth="1"/>
    <col min="4111" max="4111" width="8" style="42" customWidth="1"/>
    <col min="4112" max="4112" width="11.42578125" style="42" customWidth="1"/>
    <col min="4113" max="4113" width="11.7109375" style="42" customWidth="1"/>
    <col min="4114" max="4114" width="13.42578125" style="42" customWidth="1"/>
    <col min="4115" max="4115" width="10.7109375" style="42" customWidth="1"/>
    <col min="4116" max="4116" width="11.42578125" style="42" customWidth="1"/>
    <col min="4117" max="4117" width="13" style="42" customWidth="1"/>
    <col min="4118" max="4118" width="17.85546875" style="42" customWidth="1"/>
    <col min="4119" max="4352" width="8.85546875" style="42"/>
    <col min="4353" max="4353" width="6.7109375" style="42" customWidth="1"/>
    <col min="4354" max="4354" width="32.85546875" style="42" customWidth="1"/>
    <col min="4355" max="4355" width="12.42578125" style="42" customWidth="1"/>
    <col min="4356" max="4356" width="13.42578125" style="42" customWidth="1"/>
    <col min="4357" max="4358" width="12.85546875" style="42" customWidth="1"/>
    <col min="4359" max="4359" width="8.7109375" style="42" customWidth="1"/>
    <col min="4360" max="4360" width="13.140625" style="42" customWidth="1"/>
    <col min="4361" max="4361" width="11.28515625" style="42" customWidth="1"/>
    <col min="4362" max="4362" width="13.42578125" style="42" customWidth="1"/>
    <col min="4363" max="4363" width="8.28515625" style="42" customWidth="1"/>
    <col min="4364" max="4365" width="11.42578125" style="42" customWidth="1"/>
    <col min="4366" max="4366" width="13.5703125" style="42" customWidth="1"/>
    <col min="4367" max="4367" width="8" style="42" customWidth="1"/>
    <col min="4368" max="4368" width="11.42578125" style="42" customWidth="1"/>
    <col min="4369" max="4369" width="11.7109375" style="42" customWidth="1"/>
    <col min="4370" max="4370" width="13.42578125" style="42" customWidth="1"/>
    <col min="4371" max="4371" width="10.7109375" style="42" customWidth="1"/>
    <col min="4372" max="4372" width="11.42578125" style="42" customWidth="1"/>
    <col min="4373" max="4373" width="13" style="42" customWidth="1"/>
    <col min="4374" max="4374" width="17.85546875" style="42" customWidth="1"/>
    <col min="4375" max="4608" width="8.85546875" style="42"/>
    <col min="4609" max="4609" width="6.7109375" style="42" customWidth="1"/>
    <col min="4610" max="4610" width="32.85546875" style="42" customWidth="1"/>
    <col min="4611" max="4611" width="12.42578125" style="42" customWidth="1"/>
    <col min="4612" max="4612" width="13.42578125" style="42" customWidth="1"/>
    <col min="4613" max="4614" width="12.85546875" style="42" customWidth="1"/>
    <col min="4615" max="4615" width="8.7109375" style="42" customWidth="1"/>
    <col min="4616" max="4616" width="13.140625" style="42" customWidth="1"/>
    <col min="4617" max="4617" width="11.28515625" style="42" customWidth="1"/>
    <col min="4618" max="4618" width="13.42578125" style="42" customWidth="1"/>
    <col min="4619" max="4619" width="8.28515625" style="42" customWidth="1"/>
    <col min="4620" max="4621" width="11.42578125" style="42" customWidth="1"/>
    <col min="4622" max="4622" width="13.5703125" style="42" customWidth="1"/>
    <col min="4623" max="4623" width="8" style="42" customWidth="1"/>
    <col min="4624" max="4624" width="11.42578125" style="42" customWidth="1"/>
    <col min="4625" max="4625" width="11.7109375" style="42" customWidth="1"/>
    <col min="4626" max="4626" width="13.42578125" style="42" customWidth="1"/>
    <col min="4627" max="4627" width="10.7109375" style="42" customWidth="1"/>
    <col min="4628" max="4628" width="11.42578125" style="42" customWidth="1"/>
    <col min="4629" max="4629" width="13" style="42" customWidth="1"/>
    <col min="4630" max="4630" width="17.85546875" style="42" customWidth="1"/>
    <col min="4631" max="4864" width="8.85546875" style="42"/>
    <col min="4865" max="4865" width="6.7109375" style="42" customWidth="1"/>
    <col min="4866" max="4866" width="32.85546875" style="42" customWidth="1"/>
    <col min="4867" max="4867" width="12.42578125" style="42" customWidth="1"/>
    <col min="4868" max="4868" width="13.42578125" style="42" customWidth="1"/>
    <col min="4869" max="4870" width="12.85546875" style="42" customWidth="1"/>
    <col min="4871" max="4871" width="8.7109375" style="42" customWidth="1"/>
    <col min="4872" max="4872" width="13.140625" style="42" customWidth="1"/>
    <col min="4873" max="4873" width="11.28515625" style="42" customWidth="1"/>
    <col min="4874" max="4874" width="13.42578125" style="42" customWidth="1"/>
    <col min="4875" max="4875" width="8.28515625" style="42" customWidth="1"/>
    <col min="4876" max="4877" width="11.42578125" style="42" customWidth="1"/>
    <col min="4878" max="4878" width="13.5703125" style="42" customWidth="1"/>
    <col min="4879" max="4879" width="8" style="42" customWidth="1"/>
    <col min="4880" max="4880" width="11.42578125" style="42" customWidth="1"/>
    <col min="4881" max="4881" width="11.7109375" style="42" customWidth="1"/>
    <col min="4882" max="4882" width="13.42578125" style="42" customWidth="1"/>
    <col min="4883" max="4883" width="10.7109375" style="42" customWidth="1"/>
    <col min="4884" max="4884" width="11.42578125" style="42" customWidth="1"/>
    <col min="4885" max="4885" width="13" style="42" customWidth="1"/>
    <col min="4886" max="4886" width="17.85546875" style="42" customWidth="1"/>
    <col min="4887" max="5120" width="8.85546875" style="42"/>
    <col min="5121" max="5121" width="6.7109375" style="42" customWidth="1"/>
    <col min="5122" max="5122" width="32.85546875" style="42" customWidth="1"/>
    <col min="5123" max="5123" width="12.42578125" style="42" customWidth="1"/>
    <col min="5124" max="5124" width="13.42578125" style="42" customWidth="1"/>
    <col min="5125" max="5126" width="12.85546875" style="42" customWidth="1"/>
    <col min="5127" max="5127" width="8.7109375" style="42" customWidth="1"/>
    <col min="5128" max="5128" width="13.140625" style="42" customWidth="1"/>
    <col min="5129" max="5129" width="11.28515625" style="42" customWidth="1"/>
    <col min="5130" max="5130" width="13.42578125" style="42" customWidth="1"/>
    <col min="5131" max="5131" width="8.28515625" style="42" customWidth="1"/>
    <col min="5132" max="5133" width="11.42578125" style="42" customWidth="1"/>
    <col min="5134" max="5134" width="13.5703125" style="42" customWidth="1"/>
    <col min="5135" max="5135" width="8" style="42" customWidth="1"/>
    <col min="5136" max="5136" width="11.42578125" style="42" customWidth="1"/>
    <col min="5137" max="5137" width="11.7109375" style="42" customWidth="1"/>
    <col min="5138" max="5138" width="13.42578125" style="42" customWidth="1"/>
    <col min="5139" max="5139" width="10.7109375" style="42" customWidth="1"/>
    <col min="5140" max="5140" width="11.42578125" style="42" customWidth="1"/>
    <col min="5141" max="5141" width="13" style="42" customWidth="1"/>
    <col min="5142" max="5142" width="17.85546875" style="42" customWidth="1"/>
    <col min="5143" max="5376" width="8.85546875" style="42"/>
    <col min="5377" max="5377" width="6.7109375" style="42" customWidth="1"/>
    <col min="5378" max="5378" width="32.85546875" style="42" customWidth="1"/>
    <col min="5379" max="5379" width="12.42578125" style="42" customWidth="1"/>
    <col min="5380" max="5380" width="13.42578125" style="42" customWidth="1"/>
    <col min="5381" max="5382" width="12.85546875" style="42" customWidth="1"/>
    <col min="5383" max="5383" width="8.7109375" style="42" customWidth="1"/>
    <col min="5384" max="5384" width="13.140625" style="42" customWidth="1"/>
    <col min="5385" max="5385" width="11.28515625" style="42" customWidth="1"/>
    <col min="5386" max="5386" width="13.42578125" style="42" customWidth="1"/>
    <col min="5387" max="5387" width="8.28515625" style="42" customWidth="1"/>
    <col min="5388" max="5389" width="11.42578125" style="42" customWidth="1"/>
    <col min="5390" max="5390" width="13.5703125" style="42" customWidth="1"/>
    <col min="5391" max="5391" width="8" style="42" customWidth="1"/>
    <col min="5392" max="5392" width="11.42578125" style="42" customWidth="1"/>
    <col min="5393" max="5393" width="11.7109375" style="42" customWidth="1"/>
    <col min="5394" max="5394" width="13.42578125" style="42" customWidth="1"/>
    <col min="5395" max="5395" width="10.7109375" style="42" customWidth="1"/>
    <col min="5396" max="5396" width="11.42578125" style="42" customWidth="1"/>
    <col min="5397" max="5397" width="13" style="42" customWidth="1"/>
    <col min="5398" max="5398" width="17.85546875" style="42" customWidth="1"/>
    <col min="5399" max="5632" width="8.85546875" style="42"/>
    <col min="5633" max="5633" width="6.7109375" style="42" customWidth="1"/>
    <col min="5634" max="5634" width="32.85546875" style="42" customWidth="1"/>
    <col min="5635" max="5635" width="12.42578125" style="42" customWidth="1"/>
    <col min="5636" max="5636" width="13.42578125" style="42" customWidth="1"/>
    <col min="5637" max="5638" width="12.85546875" style="42" customWidth="1"/>
    <col min="5639" max="5639" width="8.7109375" style="42" customWidth="1"/>
    <col min="5640" max="5640" width="13.140625" style="42" customWidth="1"/>
    <col min="5641" max="5641" width="11.28515625" style="42" customWidth="1"/>
    <col min="5642" max="5642" width="13.42578125" style="42" customWidth="1"/>
    <col min="5643" max="5643" width="8.28515625" style="42" customWidth="1"/>
    <col min="5644" max="5645" width="11.42578125" style="42" customWidth="1"/>
    <col min="5646" max="5646" width="13.5703125" style="42" customWidth="1"/>
    <col min="5647" max="5647" width="8" style="42" customWidth="1"/>
    <col min="5648" max="5648" width="11.42578125" style="42" customWidth="1"/>
    <col min="5649" max="5649" width="11.7109375" style="42" customWidth="1"/>
    <col min="5650" max="5650" width="13.42578125" style="42" customWidth="1"/>
    <col min="5651" max="5651" width="10.7109375" style="42" customWidth="1"/>
    <col min="5652" max="5652" width="11.42578125" style="42" customWidth="1"/>
    <col min="5653" max="5653" width="13" style="42" customWidth="1"/>
    <col min="5654" max="5654" width="17.85546875" style="42" customWidth="1"/>
    <col min="5655" max="5888" width="8.85546875" style="42"/>
    <col min="5889" max="5889" width="6.7109375" style="42" customWidth="1"/>
    <col min="5890" max="5890" width="32.85546875" style="42" customWidth="1"/>
    <col min="5891" max="5891" width="12.42578125" style="42" customWidth="1"/>
    <col min="5892" max="5892" width="13.42578125" style="42" customWidth="1"/>
    <col min="5893" max="5894" width="12.85546875" style="42" customWidth="1"/>
    <col min="5895" max="5895" width="8.7109375" style="42" customWidth="1"/>
    <col min="5896" max="5896" width="13.140625" style="42" customWidth="1"/>
    <col min="5897" max="5897" width="11.28515625" style="42" customWidth="1"/>
    <col min="5898" max="5898" width="13.42578125" style="42" customWidth="1"/>
    <col min="5899" max="5899" width="8.28515625" style="42" customWidth="1"/>
    <col min="5900" max="5901" width="11.42578125" style="42" customWidth="1"/>
    <col min="5902" max="5902" width="13.5703125" style="42" customWidth="1"/>
    <col min="5903" max="5903" width="8" style="42" customWidth="1"/>
    <col min="5904" max="5904" width="11.42578125" style="42" customWidth="1"/>
    <col min="5905" max="5905" width="11.7109375" style="42" customWidth="1"/>
    <col min="5906" max="5906" width="13.42578125" style="42" customWidth="1"/>
    <col min="5907" max="5907" width="10.7109375" style="42" customWidth="1"/>
    <col min="5908" max="5908" width="11.42578125" style="42" customWidth="1"/>
    <col min="5909" max="5909" width="13" style="42" customWidth="1"/>
    <col min="5910" max="5910" width="17.85546875" style="42" customWidth="1"/>
    <col min="5911" max="6144" width="8.85546875" style="42"/>
    <col min="6145" max="6145" width="6.7109375" style="42" customWidth="1"/>
    <col min="6146" max="6146" width="32.85546875" style="42" customWidth="1"/>
    <col min="6147" max="6147" width="12.42578125" style="42" customWidth="1"/>
    <col min="6148" max="6148" width="13.42578125" style="42" customWidth="1"/>
    <col min="6149" max="6150" width="12.85546875" style="42" customWidth="1"/>
    <col min="6151" max="6151" width="8.7109375" style="42" customWidth="1"/>
    <col min="6152" max="6152" width="13.140625" style="42" customWidth="1"/>
    <col min="6153" max="6153" width="11.28515625" style="42" customWidth="1"/>
    <col min="6154" max="6154" width="13.42578125" style="42" customWidth="1"/>
    <col min="6155" max="6155" width="8.28515625" style="42" customWidth="1"/>
    <col min="6156" max="6157" width="11.42578125" style="42" customWidth="1"/>
    <col min="6158" max="6158" width="13.5703125" style="42" customWidth="1"/>
    <col min="6159" max="6159" width="8" style="42" customWidth="1"/>
    <col min="6160" max="6160" width="11.42578125" style="42" customWidth="1"/>
    <col min="6161" max="6161" width="11.7109375" style="42" customWidth="1"/>
    <col min="6162" max="6162" width="13.42578125" style="42" customWidth="1"/>
    <col min="6163" max="6163" width="10.7109375" style="42" customWidth="1"/>
    <col min="6164" max="6164" width="11.42578125" style="42" customWidth="1"/>
    <col min="6165" max="6165" width="13" style="42" customWidth="1"/>
    <col min="6166" max="6166" width="17.85546875" style="42" customWidth="1"/>
    <col min="6167" max="6400" width="8.85546875" style="42"/>
    <col min="6401" max="6401" width="6.7109375" style="42" customWidth="1"/>
    <col min="6402" max="6402" width="32.85546875" style="42" customWidth="1"/>
    <col min="6403" max="6403" width="12.42578125" style="42" customWidth="1"/>
    <col min="6404" max="6404" width="13.42578125" style="42" customWidth="1"/>
    <col min="6405" max="6406" width="12.85546875" style="42" customWidth="1"/>
    <col min="6407" max="6407" width="8.7109375" style="42" customWidth="1"/>
    <col min="6408" max="6408" width="13.140625" style="42" customWidth="1"/>
    <col min="6409" max="6409" width="11.28515625" style="42" customWidth="1"/>
    <col min="6410" max="6410" width="13.42578125" style="42" customWidth="1"/>
    <col min="6411" max="6411" width="8.28515625" style="42" customWidth="1"/>
    <col min="6412" max="6413" width="11.42578125" style="42" customWidth="1"/>
    <col min="6414" max="6414" width="13.5703125" style="42" customWidth="1"/>
    <col min="6415" max="6415" width="8" style="42" customWidth="1"/>
    <col min="6416" max="6416" width="11.42578125" style="42" customWidth="1"/>
    <col min="6417" max="6417" width="11.7109375" style="42" customWidth="1"/>
    <col min="6418" max="6418" width="13.42578125" style="42" customWidth="1"/>
    <col min="6419" max="6419" width="10.7109375" style="42" customWidth="1"/>
    <col min="6420" max="6420" width="11.42578125" style="42" customWidth="1"/>
    <col min="6421" max="6421" width="13" style="42" customWidth="1"/>
    <col min="6422" max="6422" width="17.85546875" style="42" customWidth="1"/>
    <col min="6423" max="6656" width="8.85546875" style="42"/>
    <col min="6657" max="6657" width="6.7109375" style="42" customWidth="1"/>
    <col min="6658" max="6658" width="32.85546875" style="42" customWidth="1"/>
    <col min="6659" max="6659" width="12.42578125" style="42" customWidth="1"/>
    <col min="6660" max="6660" width="13.42578125" style="42" customWidth="1"/>
    <col min="6661" max="6662" width="12.85546875" style="42" customWidth="1"/>
    <col min="6663" max="6663" width="8.7109375" style="42" customWidth="1"/>
    <col min="6664" max="6664" width="13.140625" style="42" customWidth="1"/>
    <col min="6665" max="6665" width="11.28515625" style="42" customWidth="1"/>
    <col min="6666" max="6666" width="13.42578125" style="42" customWidth="1"/>
    <col min="6667" max="6667" width="8.28515625" style="42" customWidth="1"/>
    <col min="6668" max="6669" width="11.42578125" style="42" customWidth="1"/>
    <col min="6670" max="6670" width="13.5703125" style="42" customWidth="1"/>
    <col min="6671" max="6671" width="8" style="42" customWidth="1"/>
    <col min="6672" max="6672" width="11.42578125" style="42" customWidth="1"/>
    <col min="6673" max="6673" width="11.7109375" style="42" customWidth="1"/>
    <col min="6674" max="6674" width="13.42578125" style="42" customWidth="1"/>
    <col min="6675" max="6675" width="10.7109375" style="42" customWidth="1"/>
    <col min="6676" max="6676" width="11.42578125" style="42" customWidth="1"/>
    <col min="6677" max="6677" width="13" style="42" customWidth="1"/>
    <col min="6678" max="6678" width="17.85546875" style="42" customWidth="1"/>
    <col min="6679" max="6912" width="8.85546875" style="42"/>
    <col min="6913" max="6913" width="6.7109375" style="42" customWidth="1"/>
    <col min="6914" max="6914" width="32.85546875" style="42" customWidth="1"/>
    <col min="6915" max="6915" width="12.42578125" style="42" customWidth="1"/>
    <col min="6916" max="6916" width="13.42578125" style="42" customWidth="1"/>
    <col min="6917" max="6918" width="12.85546875" style="42" customWidth="1"/>
    <col min="6919" max="6919" width="8.7109375" style="42" customWidth="1"/>
    <col min="6920" max="6920" width="13.140625" style="42" customWidth="1"/>
    <col min="6921" max="6921" width="11.28515625" style="42" customWidth="1"/>
    <col min="6922" max="6922" width="13.42578125" style="42" customWidth="1"/>
    <col min="6923" max="6923" width="8.28515625" style="42" customWidth="1"/>
    <col min="6924" max="6925" width="11.42578125" style="42" customWidth="1"/>
    <col min="6926" max="6926" width="13.5703125" style="42" customWidth="1"/>
    <col min="6927" max="6927" width="8" style="42" customWidth="1"/>
    <col min="6928" max="6928" width="11.42578125" style="42" customWidth="1"/>
    <col min="6929" max="6929" width="11.7109375" style="42" customWidth="1"/>
    <col min="6930" max="6930" width="13.42578125" style="42" customWidth="1"/>
    <col min="6931" max="6931" width="10.7109375" style="42" customWidth="1"/>
    <col min="6932" max="6932" width="11.42578125" style="42" customWidth="1"/>
    <col min="6933" max="6933" width="13" style="42" customWidth="1"/>
    <col min="6934" max="6934" width="17.85546875" style="42" customWidth="1"/>
    <col min="6935" max="7168" width="8.85546875" style="42"/>
    <col min="7169" max="7169" width="6.7109375" style="42" customWidth="1"/>
    <col min="7170" max="7170" width="32.85546875" style="42" customWidth="1"/>
    <col min="7171" max="7171" width="12.42578125" style="42" customWidth="1"/>
    <col min="7172" max="7172" width="13.42578125" style="42" customWidth="1"/>
    <col min="7173" max="7174" width="12.85546875" style="42" customWidth="1"/>
    <col min="7175" max="7175" width="8.7109375" style="42" customWidth="1"/>
    <col min="7176" max="7176" width="13.140625" style="42" customWidth="1"/>
    <col min="7177" max="7177" width="11.28515625" style="42" customWidth="1"/>
    <col min="7178" max="7178" width="13.42578125" style="42" customWidth="1"/>
    <col min="7179" max="7179" width="8.28515625" style="42" customWidth="1"/>
    <col min="7180" max="7181" width="11.42578125" style="42" customWidth="1"/>
    <col min="7182" max="7182" width="13.5703125" style="42" customWidth="1"/>
    <col min="7183" max="7183" width="8" style="42" customWidth="1"/>
    <col min="7184" max="7184" width="11.42578125" style="42" customWidth="1"/>
    <col min="7185" max="7185" width="11.7109375" style="42" customWidth="1"/>
    <col min="7186" max="7186" width="13.42578125" style="42" customWidth="1"/>
    <col min="7187" max="7187" width="10.7109375" style="42" customWidth="1"/>
    <col min="7188" max="7188" width="11.42578125" style="42" customWidth="1"/>
    <col min="7189" max="7189" width="13" style="42" customWidth="1"/>
    <col min="7190" max="7190" width="17.85546875" style="42" customWidth="1"/>
    <col min="7191" max="7424" width="8.85546875" style="42"/>
    <col min="7425" max="7425" width="6.7109375" style="42" customWidth="1"/>
    <col min="7426" max="7426" width="32.85546875" style="42" customWidth="1"/>
    <col min="7427" max="7427" width="12.42578125" style="42" customWidth="1"/>
    <col min="7428" max="7428" width="13.42578125" style="42" customWidth="1"/>
    <col min="7429" max="7430" width="12.85546875" style="42" customWidth="1"/>
    <col min="7431" max="7431" width="8.7109375" style="42" customWidth="1"/>
    <col min="7432" max="7432" width="13.140625" style="42" customWidth="1"/>
    <col min="7433" max="7433" width="11.28515625" style="42" customWidth="1"/>
    <col min="7434" max="7434" width="13.42578125" style="42" customWidth="1"/>
    <col min="7435" max="7435" width="8.28515625" style="42" customWidth="1"/>
    <col min="7436" max="7437" width="11.42578125" style="42" customWidth="1"/>
    <col min="7438" max="7438" width="13.5703125" style="42" customWidth="1"/>
    <col min="7439" max="7439" width="8" style="42" customWidth="1"/>
    <col min="7440" max="7440" width="11.42578125" style="42" customWidth="1"/>
    <col min="7441" max="7441" width="11.7109375" style="42" customWidth="1"/>
    <col min="7442" max="7442" width="13.42578125" style="42" customWidth="1"/>
    <col min="7443" max="7443" width="10.7109375" style="42" customWidth="1"/>
    <col min="7444" max="7444" width="11.42578125" style="42" customWidth="1"/>
    <col min="7445" max="7445" width="13" style="42" customWidth="1"/>
    <col min="7446" max="7446" width="17.85546875" style="42" customWidth="1"/>
    <col min="7447" max="7680" width="8.85546875" style="42"/>
    <col min="7681" max="7681" width="6.7109375" style="42" customWidth="1"/>
    <col min="7682" max="7682" width="32.85546875" style="42" customWidth="1"/>
    <col min="7683" max="7683" width="12.42578125" style="42" customWidth="1"/>
    <col min="7684" max="7684" width="13.42578125" style="42" customWidth="1"/>
    <col min="7685" max="7686" width="12.85546875" style="42" customWidth="1"/>
    <col min="7687" max="7687" width="8.7109375" style="42" customWidth="1"/>
    <col min="7688" max="7688" width="13.140625" style="42" customWidth="1"/>
    <col min="7689" max="7689" width="11.28515625" style="42" customWidth="1"/>
    <col min="7690" max="7690" width="13.42578125" style="42" customWidth="1"/>
    <col min="7691" max="7691" width="8.28515625" style="42" customWidth="1"/>
    <col min="7692" max="7693" width="11.42578125" style="42" customWidth="1"/>
    <col min="7694" max="7694" width="13.5703125" style="42" customWidth="1"/>
    <col min="7695" max="7695" width="8" style="42" customWidth="1"/>
    <col min="7696" max="7696" width="11.42578125" style="42" customWidth="1"/>
    <col min="7697" max="7697" width="11.7109375" style="42" customWidth="1"/>
    <col min="7698" max="7698" width="13.42578125" style="42" customWidth="1"/>
    <col min="7699" max="7699" width="10.7109375" style="42" customWidth="1"/>
    <col min="7700" max="7700" width="11.42578125" style="42" customWidth="1"/>
    <col min="7701" max="7701" width="13" style="42" customWidth="1"/>
    <col min="7702" max="7702" width="17.85546875" style="42" customWidth="1"/>
    <col min="7703" max="7936" width="8.85546875" style="42"/>
    <col min="7937" max="7937" width="6.7109375" style="42" customWidth="1"/>
    <col min="7938" max="7938" width="32.85546875" style="42" customWidth="1"/>
    <col min="7939" max="7939" width="12.42578125" style="42" customWidth="1"/>
    <col min="7940" max="7940" width="13.42578125" style="42" customWidth="1"/>
    <col min="7941" max="7942" width="12.85546875" style="42" customWidth="1"/>
    <col min="7943" max="7943" width="8.7109375" style="42" customWidth="1"/>
    <col min="7944" max="7944" width="13.140625" style="42" customWidth="1"/>
    <col min="7945" max="7945" width="11.28515625" style="42" customWidth="1"/>
    <col min="7946" max="7946" width="13.42578125" style="42" customWidth="1"/>
    <col min="7947" max="7947" width="8.28515625" style="42" customWidth="1"/>
    <col min="7948" max="7949" width="11.42578125" style="42" customWidth="1"/>
    <col min="7950" max="7950" width="13.5703125" style="42" customWidth="1"/>
    <col min="7951" max="7951" width="8" style="42" customWidth="1"/>
    <col min="7952" max="7952" width="11.42578125" style="42" customWidth="1"/>
    <col min="7953" max="7953" width="11.7109375" style="42" customWidth="1"/>
    <col min="7954" max="7954" width="13.42578125" style="42" customWidth="1"/>
    <col min="7955" max="7955" width="10.7109375" style="42" customWidth="1"/>
    <col min="7956" max="7956" width="11.42578125" style="42" customWidth="1"/>
    <col min="7957" max="7957" width="13" style="42" customWidth="1"/>
    <col min="7958" max="7958" width="17.85546875" style="42" customWidth="1"/>
    <col min="7959" max="8192" width="8.85546875" style="42"/>
    <col min="8193" max="8193" width="6.7109375" style="42" customWidth="1"/>
    <col min="8194" max="8194" width="32.85546875" style="42" customWidth="1"/>
    <col min="8195" max="8195" width="12.42578125" style="42" customWidth="1"/>
    <col min="8196" max="8196" width="13.42578125" style="42" customWidth="1"/>
    <col min="8197" max="8198" width="12.85546875" style="42" customWidth="1"/>
    <col min="8199" max="8199" width="8.7109375" style="42" customWidth="1"/>
    <col min="8200" max="8200" width="13.140625" style="42" customWidth="1"/>
    <col min="8201" max="8201" width="11.28515625" style="42" customWidth="1"/>
    <col min="8202" max="8202" width="13.42578125" style="42" customWidth="1"/>
    <col min="8203" max="8203" width="8.28515625" style="42" customWidth="1"/>
    <col min="8204" max="8205" width="11.42578125" style="42" customWidth="1"/>
    <col min="8206" max="8206" width="13.5703125" style="42" customWidth="1"/>
    <col min="8207" max="8207" width="8" style="42" customWidth="1"/>
    <col min="8208" max="8208" width="11.42578125" style="42" customWidth="1"/>
    <col min="8209" max="8209" width="11.7109375" style="42" customWidth="1"/>
    <col min="8210" max="8210" width="13.42578125" style="42" customWidth="1"/>
    <col min="8211" max="8211" width="10.7109375" style="42" customWidth="1"/>
    <col min="8212" max="8212" width="11.42578125" style="42" customWidth="1"/>
    <col min="8213" max="8213" width="13" style="42" customWidth="1"/>
    <col min="8214" max="8214" width="17.85546875" style="42" customWidth="1"/>
    <col min="8215" max="8448" width="8.85546875" style="42"/>
    <col min="8449" max="8449" width="6.7109375" style="42" customWidth="1"/>
    <col min="8450" max="8450" width="32.85546875" style="42" customWidth="1"/>
    <col min="8451" max="8451" width="12.42578125" style="42" customWidth="1"/>
    <col min="8452" max="8452" width="13.42578125" style="42" customWidth="1"/>
    <col min="8453" max="8454" width="12.85546875" style="42" customWidth="1"/>
    <col min="8455" max="8455" width="8.7109375" style="42" customWidth="1"/>
    <col min="8456" max="8456" width="13.140625" style="42" customWidth="1"/>
    <col min="8457" max="8457" width="11.28515625" style="42" customWidth="1"/>
    <col min="8458" max="8458" width="13.42578125" style="42" customWidth="1"/>
    <col min="8459" max="8459" width="8.28515625" style="42" customWidth="1"/>
    <col min="8460" max="8461" width="11.42578125" style="42" customWidth="1"/>
    <col min="8462" max="8462" width="13.5703125" style="42" customWidth="1"/>
    <col min="8463" max="8463" width="8" style="42" customWidth="1"/>
    <col min="8464" max="8464" width="11.42578125" style="42" customWidth="1"/>
    <col min="8465" max="8465" width="11.7109375" style="42" customWidth="1"/>
    <col min="8466" max="8466" width="13.42578125" style="42" customWidth="1"/>
    <col min="8467" max="8467" width="10.7109375" style="42" customWidth="1"/>
    <col min="8468" max="8468" width="11.42578125" style="42" customWidth="1"/>
    <col min="8469" max="8469" width="13" style="42" customWidth="1"/>
    <col min="8470" max="8470" width="17.85546875" style="42" customWidth="1"/>
    <col min="8471" max="8704" width="8.85546875" style="42"/>
    <col min="8705" max="8705" width="6.7109375" style="42" customWidth="1"/>
    <col min="8706" max="8706" width="32.85546875" style="42" customWidth="1"/>
    <col min="8707" max="8707" width="12.42578125" style="42" customWidth="1"/>
    <col min="8708" max="8708" width="13.42578125" style="42" customWidth="1"/>
    <col min="8709" max="8710" width="12.85546875" style="42" customWidth="1"/>
    <col min="8711" max="8711" width="8.7109375" style="42" customWidth="1"/>
    <col min="8712" max="8712" width="13.140625" style="42" customWidth="1"/>
    <col min="8713" max="8713" width="11.28515625" style="42" customWidth="1"/>
    <col min="8714" max="8714" width="13.42578125" style="42" customWidth="1"/>
    <col min="8715" max="8715" width="8.28515625" style="42" customWidth="1"/>
    <col min="8716" max="8717" width="11.42578125" style="42" customWidth="1"/>
    <col min="8718" max="8718" width="13.5703125" style="42" customWidth="1"/>
    <col min="8719" max="8719" width="8" style="42" customWidth="1"/>
    <col min="8720" max="8720" width="11.42578125" style="42" customWidth="1"/>
    <col min="8721" max="8721" width="11.7109375" style="42" customWidth="1"/>
    <col min="8722" max="8722" width="13.42578125" style="42" customWidth="1"/>
    <col min="8723" max="8723" width="10.7109375" style="42" customWidth="1"/>
    <col min="8724" max="8724" width="11.42578125" style="42" customWidth="1"/>
    <col min="8725" max="8725" width="13" style="42" customWidth="1"/>
    <col min="8726" max="8726" width="17.85546875" style="42" customWidth="1"/>
    <col min="8727" max="8960" width="8.85546875" style="42"/>
    <col min="8961" max="8961" width="6.7109375" style="42" customWidth="1"/>
    <col min="8962" max="8962" width="32.85546875" style="42" customWidth="1"/>
    <col min="8963" max="8963" width="12.42578125" style="42" customWidth="1"/>
    <col min="8964" max="8964" width="13.42578125" style="42" customWidth="1"/>
    <col min="8965" max="8966" width="12.85546875" style="42" customWidth="1"/>
    <col min="8967" max="8967" width="8.7109375" style="42" customWidth="1"/>
    <col min="8968" max="8968" width="13.140625" style="42" customWidth="1"/>
    <col min="8969" max="8969" width="11.28515625" style="42" customWidth="1"/>
    <col min="8970" max="8970" width="13.42578125" style="42" customWidth="1"/>
    <col min="8971" max="8971" width="8.28515625" style="42" customWidth="1"/>
    <col min="8972" max="8973" width="11.42578125" style="42" customWidth="1"/>
    <col min="8974" max="8974" width="13.5703125" style="42" customWidth="1"/>
    <col min="8975" max="8975" width="8" style="42" customWidth="1"/>
    <col min="8976" max="8976" width="11.42578125" style="42" customWidth="1"/>
    <col min="8977" max="8977" width="11.7109375" style="42" customWidth="1"/>
    <col min="8978" max="8978" width="13.42578125" style="42" customWidth="1"/>
    <col min="8979" max="8979" width="10.7109375" style="42" customWidth="1"/>
    <col min="8980" max="8980" width="11.42578125" style="42" customWidth="1"/>
    <col min="8981" max="8981" width="13" style="42" customWidth="1"/>
    <col min="8982" max="8982" width="17.85546875" style="42" customWidth="1"/>
    <col min="8983" max="9216" width="8.85546875" style="42"/>
    <col min="9217" max="9217" width="6.7109375" style="42" customWidth="1"/>
    <col min="9218" max="9218" width="32.85546875" style="42" customWidth="1"/>
    <col min="9219" max="9219" width="12.42578125" style="42" customWidth="1"/>
    <col min="9220" max="9220" width="13.42578125" style="42" customWidth="1"/>
    <col min="9221" max="9222" width="12.85546875" style="42" customWidth="1"/>
    <col min="9223" max="9223" width="8.7109375" style="42" customWidth="1"/>
    <col min="9224" max="9224" width="13.140625" style="42" customWidth="1"/>
    <col min="9225" max="9225" width="11.28515625" style="42" customWidth="1"/>
    <col min="9226" max="9226" width="13.42578125" style="42" customWidth="1"/>
    <col min="9227" max="9227" width="8.28515625" style="42" customWidth="1"/>
    <col min="9228" max="9229" width="11.42578125" style="42" customWidth="1"/>
    <col min="9230" max="9230" width="13.5703125" style="42" customWidth="1"/>
    <col min="9231" max="9231" width="8" style="42" customWidth="1"/>
    <col min="9232" max="9232" width="11.42578125" style="42" customWidth="1"/>
    <col min="9233" max="9233" width="11.7109375" style="42" customWidth="1"/>
    <col min="9234" max="9234" width="13.42578125" style="42" customWidth="1"/>
    <col min="9235" max="9235" width="10.7109375" style="42" customWidth="1"/>
    <col min="9236" max="9236" width="11.42578125" style="42" customWidth="1"/>
    <col min="9237" max="9237" width="13" style="42" customWidth="1"/>
    <col min="9238" max="9238" width="17.85546875" style="42" customWidth="1"/>
    <col min="9239" max="9472" width="8.85546875" style="42"/>
    <col min="9473" max="9473" width="6.7109375" style="42" customWidth="1"/>
    <col min="9474" max="9474" width="32.85546875" style="42" customWidth="1"/>
    <col min="9475" max="9475" width="12.42578125" style="42" customWidth="1"/>
    <col min="9476" max="9476" width="13.42578125" style="42" customWidth="1"/>
    <col min="9477" max="9478" width="12.85546875" style="42" customWidth="1"/>
    <col min="9479" max="9479" width="8.7109375" style="42" customWidth="1"/>
    <col min="9480" max="9480" width="13.140625" style="42" customWidth="1"/>
    <col min="9481" max="9481" width="11.28515625" style="42" customWidth="1"/>
    <col min="9482" max="9482" width="13.42578125" style="42" customWidth="1"/>
    <col min="9483" max="9483" width="8.28515625" style="42" customWidth="1"/>
    <col min="9484" max="9485" width="11.42578125" style="42" customWidth="1"/>
    <col min="9486" max="9486" width="13.5703125" style="42" customWidth="1"/>
    <col min="9487" max="9487" width="8" style="42" customWidth="1"/>
    <col min="9488" max="9488" width="11.42578125" style="42" customWidth="1"/>
    <col min="9489" max="9489" width="11.7109375" style="42" customWidth="1"/>
    <col min="9490" max="9490" width="13.42578125" style="42" customWidth="1"/>
    <col min="9491" max="9491" width="10.7109375" style="42" customWidth="1"/>
    <col min="9492" max="9492" width="11.42578125" style="42" customWidth="1"/>
    <col min="9493" max="9493" width="13" style="42" customWidth="1"/>
    <col min="9494" max="9494" width="17.85546875" style="42" customWidth="1"/>
    <col min="9495" max="9728" width="8.85546875" style="42"/>
    <col min="9729" max="9729" width="6.7109375" style="42" customWidth="1"/>
    <col min="9730" max="9730" width="32.85546875" style="42" customWidth="1"/>
    <col min="9731" max="9731" width="12.42578125" style="42" customWidth="1"/>
    <col min="9732" max="9732" width="13.42578125" style="42" customWidth="1"/>
    <col min="9733" max="9734" width="12.85546875" style="42" customWidth="1"/>
    <col min="9735" max="9735" width="8.7109375" style="42" customWidth="1"/>
    <col min="9736" max="9736" width="13.140625" style="42" customWidth="1"/>
    <col min="9737" max="9737" width="11.28515625" style="42" customWidth="1"/>
    <col min="9738" max="9738" width="13.42578125" style="42" customWidth="1"/>
    <col min="9739" max="9739" width="8.28515625" style="42" customWidth="1"/>
    <col min="9740" max="9741" width="11.42578125" style="42" customWidth="1"/>
    <col min="9742" max="9742" width="13.5703125" style="42" customWidth="1"/>
    <col min="9743" max="9743" width="8" style="42" customWidth="1"/>
    <col min="9744" max="9744" width="11.42578125" style="42" customWidth="1"/>
    <col min="9745" max="9745" width="11.7109375" style="42" customWidth="1"/>
    <col min="9746" max="9746" width="13.42578125" style="42" customWidth="1"/>
    <col min="9747" max="9747" width="10.7109375" style="42" customWidth="1"/>
    <col min="9748" max="9748" width="11.42578125" style="42" customWidth="1"/>
    <col min="9749" max="9749" width="13" style="42" customWidth="1"/>
    <col min="9750" max="9750" width="17.85546875" style="42" customWidth="1"/>
    <col min="9751" max="9984" width="8.85546875" style="42"/>
    <col min="9985" max="9985" width="6.7109375" style="42" customWidth="1"/>
    <col min="9986" max="9986" width="32.85546875" style="42" customWidth="1"/>
    <col min="9987" max="9987" width="12.42578125" style="42" customWidth="1"/>
    <col min="9988" max="9988" width="13.42578125" style="42" customWidth="1"/>
    <col min="9989" max="9990" width="12.85546875" style="42" customWidth="1"/>
    <col min="9991" max="9991" width="8.7109375" style="42" customWidth="1"/>
    <col min="9992" max="9992" width="13.140625" style="42" customWidth="1"/>
    <col min="9993" max="9993" width="11.28515625" style="42" customWidth="1"/>
    <col min="9994" max="9994" width="13.42578125" style="42" customWidth="1"/>
    <col min="9995" max="9995" width="8.28515625" style="42" customWidth="1"/>
    <col min="9996" max="9997" width="11.42578125" style="42" customWidth="1"/>
    <col min="9998" max="9998" width="13.5703125" style="42" customWidth="1"/>
    <col min="9999" max="9999" width="8" style="42" customWidth="1"/>
    <col min="10000" max="10000" width="11.42578125" style="42" customWidth="1"/>
    <col min="10001" max="10001" width="11.7109375" style="42" customWidth="1"/>
    <col min="10002" max="10002" width="13.42578125" style="42" customWidth="1"/>
    <col min="10003" max="10003" width="10.7109375" style="42" customWidth="1"/>
    <col min="10004" max="10004" width="11.42578125" style="42" customWidth="1"/>
    <col min="10005" max="10005" width="13" style="42" customWidth="1"/>
    <col min="10006" max="10006" width="17.85546875" style="42" customWidth="1"/>
    <col min="10007" max="10240" width="8.85546875" style="42"/>
    <col min="10241" max="10241" width="6.7109375" style="42" customWidth="1"/>
    <col min="10242" max="10242" width="32.85546875" style="42" customWidth="1"/>
    <col min="10243" max="10243" width="12.42578125" style="42" customWidth="1"/>
    <col min="10244" max="10244" width="13.42578125" style="42" customWidth="1"/>
    <col min="10245" max="10246" width="12.85546875" style="42" customWidth="1"/>
    <col min="10247" max="10247" width="8.7109375" style="42" customWidth="1"/>
    <col min="10248" max="10248" width="13.140625" style="42" customWidth="1"/>
    <col min="10249" max="10249" width="11.28515625" style="42" customWidth="1"/>
    <col min="10250" max="10250" width="13.42578125" style="42" customWidth="1"/>
    <col min="10251" max="10251" width="8.28515625" style="42" customWidth="1"/>
    <col min="10252" max="10253" width="11.42578125" style="42" customWidth="1"/>
    <col min="10254" max="10254" width="13.5703125" style="42" customWidth="1"/>
    <col min="10255" max="10255" width="8" style="42" customWidth="1"/>
    <col min="10256" max="10256" width="11.42578125" style="42" customWidth="1"/>
    <col min="10257" max="10257" width="11.7109375" style="42" customWidth="1"/>
    <col min="10258" max="10258" width="13.42578125" style="42" customWidth="1"/>
    <col min="10259" max="10259" width="10.7109375" style="42" customWidth="1"/>
    <col min="10260" max="10260" width="11.42578125" style="42" customWidth="1"/>
    <col min="10261" max="10261" width="13" style="42" customWidth="1"/>
    <col min="10262" max="10262" width="17.85546875" style="42" customWidth="1"/>
    <col min="10263" max="10496" width="8.85546875" style="42"/>
    <col min="10497" max="10497" width="6.7109375" style="42" customWidth="1"/>
    <col min="10498" max="10498" width="32.85546875" style="42" customWidth="1"/>
    <col min="10499" max="10499" width="12.42578125" style="42" customWidth="1"/>
    <col min="10500" max="10500" width="13.42578125" style="42" customWidth="1"/>
    <col min="10501" max="10502" width="12.85546875" style="42" customWidth="1"/>
    <col min="10503" max="10503" width="8.7109375" style="42" customWidth="1"/>
    <col min="10504" max="10504" width="13.140625" style="42" customWidth="1"/>
    <col min="10505" max="10505" width="11.28515625" style="42" customWidth="1"/>
    <col min="10506" max="10506" width="13.42578125" style="42" customWidth="1"/>
    <col min="10507" max="10507" width="8.28515625" style="42" customWidth="1"/>
    <col min="10508" max="10509" width="11.42578125" style="42" customWidth="1"/>
    <col min="10510" max="10510" width="13.5703125" style="42" customWidth="1"/>
    <col min="10511" max="10511" width="8" style="42" customWidth="1"/>
    <col min="10512" max="10512" width="11.42578125" style="42" customWidth="1"/>
    <col min="10513" max="10513" width="11.7109375" style="42" customWidth="1"/>
    <col min="10514" max="10514" width="13.42578125" style="42" customWidth="1"/>
    <col min="10515" max="10515" width="10.7109375" style="42" customWidth="1"/>
    <col min="10516" max="10516" width="11.42578125" style="42" customWidth="1"/>
    <col min="10517" max="10517" width="13" style="42" customWidth="1"/>
    <col min="10518" max="10518" width="17.85546875" style="42" customWidth="1"/>
    <col min="10519" max="10752" width="8.85546875" style="42"/>
    <col min="10753" max="10753" width="6.7109375" style="42" customWidth="1"/>
    <col min="10754" max="10754" width="32.85546875" style="42" customWidth="1"/>
    <col min="10755" max="10755" width="12.42578125" style="42" customWidth="1"/>
    <col min="10756" max="10756" width="13.42578125" style="42" customWidth="1"/>
    <col min="10757" max="10758" width="12.85546875" style="42" customWidth="1"/>
    <col min="10759" max="10759" width="8.7109375" style="42" customWidth="1"/>
    <col min="10760" max="10760" width="13.140625" style="42" customWidth="1"/>
    <col min="10761" max="10761" width="11.28515625" style="42" customWidth="1"/>
    <col min="10762" max="10762" width="13.42578125" style="42" customWidth="1"/>
    <col min="10763" max="10763" width="8.28515625" style="42" customWidth="1"/>
    <col min="10764" max="10765" width="11.42578125" style="42" customWidth="1"/>
    <col min="10766" max="10766" width="13.5703125" style="42" customWidth="1"/>
    <col min="10767" max="10767" width="8" style="42" customWidth="1"/>
    <col min="10768" max="10768" width="11.42578125" style="42" customWidth="1"/>
    <col min="10769" max="10769" width="11.7109375" style="42" customWidth="1"/>
    <col min="10770" max="10770" width="13.42578125" style="42" customWidth="1"/>
    <col min="10771" max="10771" width="10.7109375" style="42" customWidth="1"/>
    <col min="10772" max="10772" width="11.42578125" style="42" customWidth="1"/>
    <col min="10773" max="10773" width="13" style="42" customWidth="1"/>
    <col min="10774" max="10774" width="17.85546875" style="42" customWidth="1"/>
    <col min="10775" max="11008" width="8.85546875" style="42"/>
    <col min="11009" max="11009" width="6.7109375" style="42" customWidth="1"/>
    <col min="11010" max="11010" width="32.85546875" style="42" customWidth="1"/>
    <col min="11011" max="11011" width="12.42578125" style="42" customWidth="1"/>
    <col min="11012" max="11012" width="13.42578125" style="42" customWidth="1"/>
    <col min="11013" max="11014" width="12.85546875" style="42" customWidth="1"/>
    <col min="11015" max="11015" width="8.7109375" style="42" customWidth="1"/>
    <col min="11016" max="11016" width="13.140625" style="42" customWidth="1"/>
    <col min="11017" max="11017" width="11.28515625" style="42" customWidth="1"/>
    <col min="11018" max="11018" width="13.42578125" style="42" customWidth="1"/>
    <col min="11019" max="11019" width="8.28515625" style="42" customWidth="1"/>
    <col min="11020" max="11021" width="11.42578125" style="42" customWidth="1"/>
    <col min="11022" max="11022" width="13.5703125" style="42" customWidth="1"/>
    <col min="11023" max="11023" width="8" style="42" customWidth="1"/>
    <col min="11024" max="11024" width="11.42578125" style="42" customWidth="1"/>
    <col min="11025" max="11025" width="11.7109375" style="42" customWidth="1"/>
    <col min="11026" max="11026" width="13.42578125" style="42" customWidth="1"/>
    <col min="11027" max="11027" width="10.7109375" style="42" customWidth="1"/>
    <col min="11028" max="11028" width="11.42578125" style="42" customWidth="1"/>
    <col min="11029" max="11029" width="13" style="42" customWidth="1"/>
    <col min="11030" max="11030" width="17.85546875" style="42" customWidth="1"/>
    <col min="11031" max="11264" width="8.85546875" style="42"/>
    <col min="11265" max="11265" width="6.7109375" style="42" customWidth="1"/>
    <col min="11266" max="11266" width="32.85546875" style="42" customWidth="1"/>
    <col min="11267" max="11267" width="12.42578125" style="42" customWidth="1"/>
    <col min="11268" max="11268" width="13.42578125" style="42" customWidth="1"/>
    <col min="11269" max="11270" width="12.85546875" style="42" customWidth="1"/>
    <col min="11271" max="11271" width="8.7109375" style="42" customWidth="1"/>
    <col min="11272" max="11272" width="13.140625" style="42" customWidth="1"/>
    <col min="11273" max="11273" width="11.28515625" style="42" customWidth="1"/>
    <col min="11274" max="11274" width="13.42578125" style="42" customWidth="1"/>
    <col min="11275" max="11275" width="8.28515625" style="42" customWidth="1"/>
    <col min="11276" max="11277" width="11.42578125" style="42" customWidth="1"/>
    <col min="11278" max="11278" width="13.5703125" style="42" customWidth="1"/>
    <col min="11279" max="11279" width="8" style="42" customWidth="1"/>
    <col min="11280" max="11280" width="11.42578125" style="42" customWidth="1"/>
    <col min="11281" max="11281" width="11.7109375" style="42" customWidth="1"/>
    <col min="11282" max="11282" width="13.42578125" style="42" customWidth="1"/>
    <col min="11283" max="11283" width="10.7109375" style="42" customWidth="1"/>
    <col min="11284" max="11284" width="11.42578125" style="42" customWidth="1"/>
    <col min="11285" max="11285" width="13" style="42" customWidth="1"/>
    <col min="11286" max="11286" width="17.85546875" style="42" customWidth="1"/>
    <col min="11287" max="11520" width="8.85546875" style="42"/>
    <col min="11521" max="11521" width="6.7109375" style="42" customWidth="1"/>
    <col min="11522" max="11522" width="32.85546875" style="42" customWidth="1"/>
    <col min="11523" max="11523" width="12.42578125" style="42" customWidth="1"/>
    <col min="11524" max="11524" width="13.42578125" style="42" customWidth="1"/>
    <col min="11525" max="11526" width="12.85546875" style="42" customWidth="1"/>
    <col min="11527" max="11527" width="8.7109375" style="42" customWidth="1"/>
    <col min="11528" max="11528" width="13.140625" style="42" customWidth="1"/>
    <col min="11529" max="11529" width="11.28515625" style="42" customWidth="1"/>
    <col min="11530" max="11530" width="13.42578125" style="42" customWidth="1"/>
    <col min="11531" max="11531" width="8.28515625" style="42" customWidth="1"/>
    <col min="11532" max="11533" width="11.42578125" style="42" customWidth="1"/>
    <col min="11534" max="11534" width="13.5703125" style="42" customWidth="1"/>
    <col min="11535" max="11535" width="8" style="42" customWidth="1"/>
    <col min="11536" max="11536" width="11.42578125" style="42" customWidth="1"/>
    <col min="11537" max="11537" width="11.7109375" style="42" customWidth="1"/>
    <col min="11538" max="11538" width="13.42578125" style="42" customWidth="1"/>
    <col min="11539" max="11539" width="10.7109375" style="42" customWidth="1"/>
    <col min="11540" max="11540" width="11.42578125" style="42" customWidth="1"/>
    <col min="11541" max="11541" width="13" style="42" customWidth="1"/>
    <col min="11542" max="11542" width="17.85546875" style="42" customWidth="1"/>
    <col min="11543" max="11776" width="8.85546875" style="42"/>
    <col min="11777" max="11777" width="6.7109375" style="42" customWidth="1"/>
    <col min="11778" max="11778" width="32.85546875" style="42" customWidth="1"/>
    <col min="11779" max="11779" width="12.42578125" style="42" customWidth="1"/>
    <col min="11780" max="11780" width="13.42578125" style="42" customWidth="1"/>
    <col min="11781" max="11782" width="12.85546875" style="42" customWidth="1"/>
    <col min="11783" max="11783" width="8.7109375" style="42" customWidth="1"/>
    <col min="11784" max="11784" width="13.140625" style="42" customWidth="1"/>
    <col min="11785" max="11785" width="11.28515625" style="42" customWidth="1"/>
    <col min="11786" max="11786" width="13.42578125" style="42" customWidth="1"/>
    <col min="11787" max="11787" width="8.28515625" style="42" customWidth="1"/>
    <col min="11788" max="11789" width="11.42578125" style="42" customWidth="1"/>
    <col min="11790" max="11790" width="13.5703125" style="42" customWidth="1"/>
    <col min="11791" max="11791" width="8" style="42" customWidth="1"/>
    <col min="11792" max="11792" width="11.42578125" style="42" customWidth="1"/>
    <col min="11793" max="11793" width="11.7109375" style="42" customWidth="1"/>
    <col min="11794" max="11794" width="13.42578125" style="42" customWidth="1"/>
    <col min="11795" max="11795" width="10.7109375" style="42" customWidth="1"/>
    <col min="11796" max="11796" width="11.42578125" style="42" customWidth="1"/>
    <col min="11797" max="11797" width="13" style="42" customWidth="1"/>
    <col min="11798" max="11798" width="17.85546875" style="42" customWidth="1"/>
    <col min="11799" max="12032" width="8.85546875" style="42"/>
    <col min="12033" max="12033" width="6.7109375" style="42" customWidth="1"/>
    <col min="12034" max="12034" width="32.85546875" style="42" customWidth="1"/>
    <col min="12035" max="12035" width="12.42578125" style="42" customWidth="1"/>
    <col min="12036" max="12036" width="13.42578125" style="42" customWidth="1"/>
    <col min="12037" max="12038" width="12.85546875" style="42" customWidth="1"/>
    <col min="12039" max="12039" width="8.7109375" style="42" customWidth="1"/>
    <col min="12040" max="12040" width="13.140625" style="42" customWidth="1"/>
    <col min="12041" max="12041" width="11.28515625" style="42" customWidth="1"/>
    <col min="12042" max="12042" width="13.42578125" style="42" customWidth="1"/>
    <col min="12043" max="12043" width="8.28515625" style="42" customWidth="1"/>
    <col min="12044" max="12045" width="11.42578125" style="42" customWidth="1"/>
    <col min="12046" max="12046" width="13.5703125" style="42" customWidth="1"/>
    <col min="12047" max="12047" width="8" style="42" customWidth="1"/>
    <col min="12048" max="12048" width="11.42578125" style="42" customWidth="1"/>
    <col min="12049" max="12049" width="11.7109375" style="42" customWidth="1"/>
    <col min="12050" max="12050" width="13.42578125" style="42" customWidth="1"/>
    <col min="12051" max="12051" width="10.7109375" style="42" customWidth="1"/>
    <col min="12052" max="12052" width="11.42578125" style="42" customWidth="1"/>
    <col min="12053" max="12053" width="13" style="42" customWidth="1"/>
    <col min="12054" max="12054" width="17.85546875" style="42" customWidth="1"/>
    <col min="12055" max="12288" width="8.85546875" style="42"/>
    <col min="12289" max="12289" width="6.7109375" style="42" customWidth="1"/>
    <col min="12290" max="12290" width="32.85546875" style="42" customWidth="1"/>
    <col min="12291" max="12291" width="12.42578125" style="42" customWidth="1"/>
    <col min="12292" max="12292" width="13.42578125" style="42" customWidth="1"/>
    <col min="12293" max="12294" width="12.85546875" style="42" customWidth="1"/>
    <col min="12295" max="12295" width="8.7109375" style="42" customWidth="1"/>
    <col min="12296" max="12296" width="13.140625" style="42" customWidth="1"/>
    <col min="12297" max="12297" width="11.28515625" style="42" customWidth="1"/>
    <col min="12298" max="12298" width="13.42578125" style="42" customWidth="1"/>
    <col min="12299" max="12299" width="8.28515625" style="42" customWidth="1"/>
    <col min="12300" max="12301" width="11.42578125" style="42" customWidth="1"/>
    <col min="12302" max="12302" width="13.5703125" style="42" customWidth="1"/>
    <col min="12303" max="12303" width="8" style="42" customWidth="1"/>
    <col min="12304" max="12304" width="11.42578125" style="42" customWidth="1"/>
    <col min="12305" max="12305" width="11.7109375" style="42" customWidth="1"/>
    <col min="12306" max="12306" width="13.42578125" style="42" customWidth="1"/>
    <col min="12307" max="12307" width="10.7109375" style="42" customWidth="1"/>
    <col min="12308" max="12308" width="11.42578125" style="42" customWidth="1"/>
    <col min="12309" max="12309" width="13" style="42" customWidth="1"/>
    <col min="12310" max="12310" width="17.85546875" style="42" customWidth="1"/>
    <col min="12311" max="12544" width="8.85546875" style="42"/>
    <col min="12545" max="12545" width="6.7109375" style="42" customWidth="1"/>
    <col min="12546" max="12546" width="32.85546875" style="42" customWidth="1"/>
    <col min="12547" max="12547" width="12.42578125" style="42" customWidth="1"/>
    <col min="12548" max="12548" width="13.42578125" style="42" customWidth="1"/>
    <col min="12549" max="12550" width="12.85546875" style="42" customWidth="1"/>
    <col min="12551" max="12551" width="8.7109375" style="42" customWidth="1"/>
    <col min="12552" max="12552" width="13.140625" style="42" customWidth="1"/>
    <col min="12553" max="12553" width="11.28515625" style="42" customWidth="1"/>
    <col min="12554" max="12554" width="13.42578125" style="42" customWidth="1"/>
    <col min="12555" max="12555" width="8.28515625" style="42" customWidth="1"/>
    <col min="12556" max="12557" width="11.42578125" style="42" customWidth="1"/>
    <col min="12558" max="12558" width="13.5703125" style="42" customWidth="1"/>
    <col min="12559" max="12559" width="8" style="42" customWidth="1"/>
    <col min="12560" max="12560" width="11.42578125" style="42" customWidth="1"/>
    <col min="12561" max="12561" width="11.7109375" style="42" customWidth="1"/>
    <col min="12562" max="12562" width="13.42578125" style="42" customWidth="1"/>
    <col min="12563" max="12563" width="10.7109375" style="42" customWidth="1"/>
    <col min="12564" max="12564" width="11.42578125" style="42" customWidth="1"/>
    <col min="12565" max="12565" width="13" style="42" customWidth="1"/>
    <col min="12566" max="12566" width="17.85546875" style="42" customWidth="1"/>
    <col min="12567" max="12800" width="8.85546875" style="42"/>
    <col min="12801" max="12801" width="6.7109375" style="42" customWidth="1"/>
    <col min="12802" max="12802" width="32.85546875" style="42" customWidth="1"/>
    <col min="12803" max="12803" width="12.42578125" style="42" customWidth="1"/>
    <col min="12804" max="12804" width="13.42578125" style="42" customWidth="1"/>
    <col min="12805" max="12806" width="12.85546875" style="42" customWidth="1"/>
    <col min="12807" max="12807" width="8.7109375" style="42" customWidth="1"/>
    <col min="12808" max="12808" width="13.140625" style="42" customWidth="1"/>
    <col min="12809" max="12809" width="11.28515625" style="42" customWidth="1"/>
    <col min="12810" max="12810" width="13.42578125" style="42" customWidth="1"/>
    <col min="12811" max="12811" width="8.28515625" style="42" customWidth="1"/>
    <col min="12812" max="12813" width="11.42578125" style="42" customWidth="1"/>
    <col min="12814" max="12814" width="13.5703125" style="42" customWidth="1"/>
    <col min="12815" max="12815" width="8" style="42" customWidth="1"/>
    <col min="12816" max="12816" width="11.42578125" style="42" customWidth="1"/>
    <col min="12817" max="12817" width="11.7109375" style="42" customWidth="1"/>
    <col min="12818" max="12818" width="13.42578125" style="42" customWidth="1"/>
    <col min="12819" max="12819" width="10.7109375" style="42" customWidth="1"/>
    <col min="12820" max="12820" width="11.42578125" style="42" customWidth="1"/>
    <col min="12821" max="12821" width="13" style="42" customWidth="1"/>
    <col min="12822" max="12822" width="17.85546875" style="42" customWidth="1"/>
    <col min="12823" max="13056" width="8.85546875" style="42"/>
    <col min="13057" max="13057" width="6.7109375" style="42" customWidth="1"/>
    <col min="13058" max="13058" width="32.85546875" style="42" customWidth="1"/>
    <col min="13059" max="13059" width="12.42578125" style="42" customWidth="1"/>
    <col min="13060" max="13060" width="13.42578125" style="42" customWidth="1"/>
    <col min="13061" max="13062" width="12.85546875" style="42" customWidth="1"/>
    <col min="13063" max="13063" width="8.7109375" style="42" customWidth="1"/>
    <col min="13064" max="13064" width="13.140625" style="42" customWidth="1"/>
    <col min="13065" max="13065" width="11.28515625" style="42" customWidth="1"/>
    <col min="13066" max="13066" width="13.42578125" style="42" customWidth="1"/>
    <col min="13067" max="13067" width="8.28515625" style="42" customWidth="1"/>
    <col min="13068" max="13069" width="11.42578125" style="42" customWidth="1"/>
    <col min="13070" max="13070" width="13.5703125" style="42" customWidth="1"/>
    <col min="13071" max="13071" width="8" style="42" customWidth="1"/>
    <col min="13072" max="13072" width="11.42578125" style="42" customWidth="1"/>
    <col min="13073" max="13073" width="11.7109375" style="42" customWidth="1"/>
    <col min="13074" max="13074" width="13.42578125" style="42" customWidth="1"/>
    <col min="13075" max="13075" width="10.7109375" style="42" customWidth="1"/>
    <col min="13076" max="13076" width="11.42578125" style="42" customWidth="1"/>
    <col min="13077" max="13077" width="13" style="42" customWidth="1"/>
    <col min="13078" max="13078" width="17.85546875" style="42" customWidth="1"/>
    <col min="13079" max="13312" width="8.85546875" style="42"/>
    <col min="13313" max="13313" width="6.7109375" style="42" customWidth="1"/>
    <col min="13314" max="13314" width="32.85546875" style="42" customWidth="1"/>
    <col min="13315" max="13315" width="12.42578125" style="42" customWidth="1"/>
    <col min="13316" max="13316" width="13.42578125" style="42" customWidth="1"/>
    <col min="13317" max="13318" width="12.85546875" style="42" customWidth="1"/>
    <col min="13319" max="13319" width="8.7109375" style="42" customWidth="1"/>
    <col min="13320" max="13320" width="13.140625" style="42" customWidth="1"/>
    <col min="13321" max="13321" width="11.28515625" style="42" customWidth="1"/>
    <col min="13322" max="13322" width="13.42578125" style="42" customWidth="1"/>
    <col min="13323" max="13323" width="8.28515625" style="42" customWidth="1"/>
    <col min="13324" max="13325" width="11.42578125" style="42" customWidth="1"/>
    <col min="13326" max="13326" width="13.5703125" style="42" customWidth="1"/>
    <col min="13327" max="13327" width="8" style="42" customWidth="1"/>
    <col min="13328" max="13328" width="11.42578125" style="42" customWidth="1"/>
    <col min="13329" max="13329" width="11.7109375" style="42" customWidth="1"/>
    <col min="13330" max="13330" width="13.42578125" style="42" customWidth="1"/>
    <col min="13331" max="13331" width="10.7109375" style="42" customWidth="1"/>
    <col min="13332" max="13332" width="11.42578125" style="42" customWidth="1"/>
    <col min="13333" max="13333" width="13" style="42" customWidth="1"/>
    <col min="13334" max="13334" width="17.85546875" style="42" customWidth="1"/>
    <col min="13335" max="13568" width="8.85546875" style="42"/>
    <col min="13569" max="13569" width="6.7109375" style="42" customWidth="1"/>
    <col min="13570" max="13570" width="32.85546875" style="42" customWidth="1"/>
    <col min="13571" max="13571" width="12.42578125" style="42" customWidth="1"/>
    <col min="13572" max="13572" width="13.42578125" style="42" customWidth="1"/>
    <col min="13573" max="13574" width="12.85546875" style="42" customWidth="1"/>
    <col min="13575" max="13575" width="8.7109375" style="42" customWidth="1"/>
    <col min="13576" max="13576" width="13.140625" style="42" customWidth="1"/>
    <col min="13577" max="13577" width="11.28515625" style="42" customWidth="1"/>
    <col min="13578" max="13578" width="13.42578125" style="42" customWidth="1"/>
    <col min="13579" max="13579" width="8.28515625" style="42" customWidth="1"/>
    <col min="13580" max="13581" width="11.42578125" style="42" customWidth="1"/>
    <col min="13582" max="13582" width="13.5703125" style="42" customWidth="1"/>
    <col min="13583" max="13583" width="8" style="42" customWidth="1"/>
    <col min="13584" max="13584" width="11.42578125" style="42" customWidth="1"/>
    <col min="13585" max="13585" width="11.7109375" style="42" customWidth="1"/>
    <col min="13586" max="13586" width="13.42578125" style="42" customWidth="1"/>
    <col min="13587" max="13587" width="10.7109375" style="42" customWidth="1"/>
    <col min="13588" max="13588" width="11.42578125" style="42" customWidth="1"/>
    <col min="13589" max="13589" width="13" style="42" customWidth="1"/>
    <col min="13590" max="13590" width="17.85546875" style="42" customWidth="1"/>
    <col min="13591" max="13824" width="8.85546875" style="42"/>
    <col min="13825" max="13825" width="6.7109375" style="42" customWidth="1"/>
    <col min="13826" max="13826" width="32.85546875" style="42" customWidth="1"/>
    <col min="13827" max="13827" width="12.42578125" style="42" customWidth="1"/>
    <col min="13828" max="13828" width="13.42578125" style="42" customWidth="1"/>
    <col min="13829" max="13830" width="12.85546875" style="42" customWidth="1"/>
    <col min="13831" max="13831" width="8.7109375" style="42" customWidth="1"/>
    <col min="13832" max="13832" width="13.140625" style="42" customWidth="1"/>
    <col min="13833" max="13833" width="11.28515625" style="42" customWidth="1"/>
    <col min="13834" max="13834" width="13.42578125" style="42" customWidth="1"/>
    <col min="13835" max="13835" width="8.28515625" style="42" customWidth="1"/>
    <col min="13836" max="13837" width="11.42578125" style="42" customWidth="1"/>
    <col min="13838" max="13838" width="13.5703125" style="42" customWidth="1"/>
    <col min="13839" max="13839" width="8" style="42" customWidth="1"/>
    <col min="13840" max="13840" width="11.42578125" style="42" customWidth="1"/>
    <col min="13841" max="13841" width="11.7109375" style="42" customWidth="1"/>
    <col min="13842" max="13842" width="13.42578125" style="42" customWidth="1"/>
    <col min="13843" max="13843" width="10.7109375" style="42" customWidth="1"/>
    <col min="13844" max="13844" width="11.42578125" style="42" customWidth="1"/>
    <col min="13845" max="13845" width="13" style="42" customWidth="1"/>
    <col min="13846" max="13846" width="17.85546875" style="42" customWidth="1"/>
    <col min="13847" max="14080" width="8.85546875" style="42"/>
    <col min="14081" max="14081" width="6.7109375" style="42" customWidth="1"/>
    <col min="14082" max="14082" width="32.85546875" style="42" customWidth="1"/>
    <col min="14083" max="14083" width="12.42578125" style="42" customWidth="1"/>
    <col min="14084" max="14084" width="13.42578125" style="42" customWidth="1"/>
    <col min="14085" max="14086" width="12.85546875" style="42" customWidth="1"/>
    <col min="14087" max="14087" width="8.7109375" style="42" customWidth="1"/>
    <col min="14088" max="14088" width="13.140625" style="42" customWidth="1"/>
    <col min="14089" max="14089" width="11.28515625" style="42" customWidth="1"/>
    <col min="14090" max="14090" width="13.42578125" style="42" customWidth="1"/>
    <col min="14091" max="14091" width="8.28515625" style="42" customWidth="1"/>
    <col min="14092" max="14093" width="11.42578125" style="42" customWidth="1"/>
    <col min="14094" max="14094" width="13.5703125" style="42" customWidth="1"/>
    <col min="14095" max="14095" width="8" style="42" customWidth="1"/>
    <col min="14096" max="14096" width="11.42578125" style="42" customWidth="1"/>
    <col min="14097" max="14097" width="11.7109375" style="42" customWidth="1"/>
    <col min="14098" max="14098" width="13.42578125" style="42" customWidth="1"/>
    <col min="14099" max="14099" width="10.7109375" style="42" customWidth="1"/>
    <col min="14100" max="14100" width="11.42578125" style="42" customWidth="1"/>
    <col min="14101" max="14101" width="13" style="42" customWidth="1"/>
    <col min="14102" max="14102" width="17.85546875" style="42" customWidth="1"/>
    <col min="14103" max="14336" width="8.85546875" style="42"/>
    <col min="14337" max="14337" width="6.7109375" style="42" customWidth="1"/>
    <col min="14338" max="14338" width="32.85546875" style="42" customWidth="1"/>
    <col min="14339" max="14339" width="12.42578125" style="42" customWidth="1"/>
    <col min="14340" max="14340" width="13.42578125" style="42" customWidth="1"/>
    <col min="14341" max="14342" width="12.85546875" style="42" customWidth="1"/>
    <col min="14343" max="14343" width="8.7109375" style="42" customWidth="1"/>
    <col min="14344" max="14344" width="13.140625" style="42" customWidth="1"/>
    <col min="14345" max="14345" width="11.28515625" style="42" customWidth="1"/>
    <col min="14346" max="14346" width="13.42578125" style="42" customWidth="1"/>
    <col min="14347" max="14347" width="8.28515625" style="42" customWidth="1"/>
    <col min="14348" max="14349" width="11.42578125" style="42" customWidth="1"/>
    <col min="14350" max="14350" width="13.5703125" style="42" customWidth="1"/>
    <col min="14351" max="14351" width="8" style="42" customWidth="1"/>
    <col min="14352" max="14352" width="11.42578125" style="42" customWidth="1"/>
    <col min="14353" max="14353" width="11.7109375" style="42" customWidth="1"/>
    <col min="14354" max="14354" width="13.42578125" style="42" customWidth="1"/>
    <col min="14355" max="14355" width="10.7109375" style="42" customWidth="1"/>
    <col min="14356" max="14356" width="11.42578125" style="42" customWidth="1"/>
    <col min="14357" max="14357" width="13" style="42" customWidth="1"/>
    <col min="14358" max="14358" width="17.85546875" style="42" customWidth="1"/>
    <col min="14359" max="14592" width="8.85546875" style="42"/>
    <col min="14593" max="14593" width="6.7109375" style="42" customWidth="1"/>
    <col min="14594" max="14594" width="32.85546875" style="42" customWidth="1"/>
    <col min="14595" max="14595" width="12.42578125" style="42" customWidth="1"/>
    <col min="14596" max="14596" width="13.42578125" style="42" customWidth="1"/>
    <col min="14597" max="14598" width="12.85546875" style="42" customWidth="1"/>
    <col min="14599" max="14599" width="8.7109375" style="42" customWidth="1"/>
    <col min="14600" max="14600" width="13.140625" style="42" customWidth="1"/>
    <col min="14601" max="14601" width="11.28515625" style="42" customWidth="1"/>
    <col min="14602" max="14602" width="13.42578125" style="42" customWidth="1"/>
    <col min="14603" max="14603" width="8.28515625" style="42" customWidth="1"/>
    <col min="14604" max="14605" width="11.42578125" style="42" customWidth="1"/>
    <col min="14606" max="14606" width="13.5703125" style="42" customWidth="1"/>
    <col min="14607" max="14607" width="8" style="42" customWidth="1"/>
    <col min="14608" max="14608" width="11.42578125" style="42" customWidth="1"/>
    <col min="14609" max="14609" width="11.7109375" style="42" customWidth="1"/>
    <col min="14610" max="14610" width="13.42578125" style="42" customWidth="1"/>
    <col min="14611" max="14611" width="10.7109375" style="42" customWidth="1"/>
    <col min="14612" max="14612" width="11.42578125" style="42" customWidth="1"/>
    <col min="14613" max="14613" width="13" style="42" customWidth="1"/>
    <col min="14614" max="14614" width="17.85546875" style="42" customWidth="1"/>
    <col min="14615" max="14848" width="8.85546875" style="42"/>
    <col min="14849" max="14849" width="6.7109375" style="42" customWidth="1"/>
    <col min="14850" max="14850" width="32.85546875" style="42" customWidth="1"/>
    <col min="14851" max="14851" width="12.42578125" style="42" customWidth="1"/>
    <col min="14852" max="14852" width="13.42578125" style="42" customWidth="1"/>
    <col min="14853" max="14854" width="12.85546875" style="42" customWidth="1"/>
    <col min="14855" max="14855" width="8.7109375" style="42" customWidth="1"/>
    <col min="14856" max="14856" width="13.140625" style="42" customWidth="1"/>
    <col min="14857" max="14857" width="11.28515625" style="42" customWidth="1"/>
    <col min="14858" max="14858" width="13.42578125" style="42" customWidth="1"/>
    <col min="14859" max="14859" width="8.28515625" style="42" customWidth="1"/>
    <col min="14860" max="14861" width="11.42578125" style="42" customWidth="1"/>
    <col min="14862" max="14862" width="13.5703125" style="42" customWidth="1"/>
    <col min="14863" max="14863" width="8" style="42" customWidth="1"/>
    <col min="14864" max="14864" width="11.42578125" style="42" customWidth="1"/>
    <col min="14865" max="14865" width="11.7109375" style="42" customWidth="1"/>
    <col min="14866" max="14866" width="13.42578125" style="42" customWidth="1"/>
    <col min="14867" max="14867" width="10.7109375" style="42" customWidth="1"/>
    <col min="14868" max="14868" width="11.42578125" style="42" customWidth="1"/>
    <col min="14869" max="14869" width="13" style="42" customWidth="1"/>
    <col min="14870" max="14870" width="17.85546875" style="42" customWidth="1"/>
    <col min="14871" max="15104" width="8.85546875" style="42"/>
    <col min="15105" max="15105" width="6.7109375" style="42" customWidth="1"/>
    <col min="15106" max="15106" width="32.85546875" style="42" customWidth="1"/>
    <col min="15107" max="15107" width="12.42578125" style="42" customWidth="1"/>
    <col min="15108" max="15108" width="13.42578125" style="42" customWidth="1"/>
    <col min="15109" max="15110" width="12.85546875" style="42" customWidth="1"/>
    <col min="15111" max="15111" width="8.7109375" style="42" customWidth="1"/>
    <col min="15112" max="15112" width="13.140625" style="42" customWidth="1"/>
    <col min="15113" max="15113" width="11.28515625" style="42" customWidth="1"/>
    <col min="15114" max="15114" width="13.42578125" style="42" customWidth="1"/>
    <col min="15115" max="15115" width="8.28515625" style="42" customWidth="1"/>
    <col min="15116" max="15117" width="11.42578125" style="42" customWidth="1"/>
    <col min="15118" max="15118" width="13.5703125" style="42" customWidth="1"/>
    <col min="15119" max="15119" width="8" style="42" customWidth="1"/>
    <col min="15120" max="15120" width="11.42578125" style="42" customWidth="1"/>
    <col min="15121" max="15121" width="11.7109375" style="42" customWidth="1"/>
    <col min="15122" max="15122" width="13.42578125" style="42" customWidth="1"/>
    <col min="15123" max="15123" width="10.7109375" style="42" customWidth="1"/>
    <col min="15124" max="15124" width="11.42578125" style="42" customWidth="1"/>
    <col min="15125" max="15125" width="13" style="42" customWidth="1"/>
    <col min="15126" max="15126" width="17.85546875" style="42" customWidth="1"/>
    <col min="15127" max="15360" width="8.85546875" style="42"/>
    <col min="15361" max="15361" width="6.7109375" style="42" customWidth="1"/>
    <col min="15362" max="15362" width="32.85546875" style="42" customWidth="1"/>
    <col min="15363" max="15363" width="12.42578125" style="42" customWidth="1"/>
    <col min="15364" max="15364" width="13.42578125" style="42" customWidth="1"/>
    <col min="15365" max="15366" width="12.85546875" style="42" customWidth="1"/>
    <col min="15367" max="15367" width="8.7109375" style="42" customWidth="1"/>
    <col min="15368" max="15368" width="13.140625" style="42" customWidth="1"/>
    <col min="15369" max="15369" width="11.28515625" style="42" customWidth="1"/>
    <col min="15370" max="15370" width="13.42578125" style="42" customWidth="1"/>
    <col min="15371" max="15371" width="8.28515625" style="42" customWidth="1"/>
    <col min="15372" max="15373" width="11.42578125" style="42" customWidth="1"/>
    <col min="15374" max="15374" width="13.5703125" style="42" customWidth="1"/>
    <col min="15375" max="15375" width="8" style="42" customWidth="1"/>
    <col min="15376" max="15376" width="11.42578125" style="42" customWidth="1"/>
    <col min="15377" max="15377" width="11.7109375" style="42" customWidth="1"/>
    <col min="15378" max="15378" width="13.42578125" style="42" customWidth="1"/>
    <col min="15379" max="15379" width="10.7109375" style="42" customWidth="1"/>
    <col min="15380" max="15380" width="11.42578125" style="42" customWidth="1"/>
    <col min="15381" max="15381" width="13" style="42" customWidth="1"/>
    <col min="15382" max="15382" width="17.85546875" style="42" customWidth="1"/>
    <col min="15383" max="15616" width="8.85546875" style="42"/>
    <col min="15617" max="15617" width="6.7109375" style="42" customWidth="1"/>
    <col min="15618" max="15618" width="32.85546875" style="42" customWidth="1"/>
    <col min="15619" max="15619" width="12.42578125" style="42" customWidth="1"/>
    <col min="15620" max="15620" width="13.42578125" style="42" customWidth="1"/>
    <col min="15621" max="15622" width="12.85546875" style="42" customWidth="1"/>
    <col min="15623" max="15623" width="8.7109375" style="42" customWidth="1"/>
    <col min="15624" max="15624" width="13.140625" style="42" customWidth="1"/>
    <col min="15625" max="15625" width="11.28515625" style="42" customWidth="1"/>
    <col min="15626" max="15626" width="13.42578125" style="42" customWidth="1"/>
    <col min="15627" max="15627" width="8.28515625" style="42" customWidth="1"/>
    <col min="15628" max="15629" width="11.42578125" style="42" customWidth="1"/>
    <col min="15630" max="15630" width="13.5703125" style="42" customWidth="1"/>
    <col min="15631" max="15631" width="8" style="42" customWidth="1"/>
    <col min="15632" max="15632" width="11.42578125" style="42" customWidth="1"/>
    <col min="15633" max="15633" width="11.7109375" style="42" customWidth="1"/>
    <col min="15634" max="15634" width="13.42578125" style="42" customWidth="1"/>
    <col min="15635" max="15635" width="10.7109375" style="42" customWidth="1"/>
    <col min="15636" max="15636" width="11.42578125" style="42" customWidth="1"/>
    <col min="15637" max="15637" width="13" style="42" customWidth="1"/>
    <col min="15638" max="15638" width="17.85546875" style="42" customWidth="1"/>
    <col min="15639" max="15872" width="8.85546875" style="42"/>
    <col min="15873" max="15873" width="6.7109375" style="42" customWidth="1"/>
    <col min="15874" max="15874" width="32.85546875" style="42" customWidth="1"/>
    <col min="15875" max="15875" width="12.42578125" style="42" customWidth="1"/>
    <col min="15876" max="15876" width="13.42578125" style="42" customWidth="1"/>
    <col min="15877" max="15878" width="12.85546875" style="42" customWidth="1"/>
    <col min="15879" max="15879" width="8.7109375" style="42" customWidth="1"/>
    <col min="15880" max="15880" width="13.140625" style="42" customWidth="1"/>
    <col min="15881" max="15881" width="11.28515625" style="42" customWidth="1"/>
    <col min="15882" max="15882" width="13.42578125" style="42" customWidth="1"/>
    <col min="15883" max="15883" width="8.28515625" style="42" customWidth="1"/>
    <col min="15884" max="15885" width="11.42578125" style="42" customWidth="1"/>
    <col min="15886" max="15886" width="13.5703125" style="42" customWidth="1"/>
    <col min="15887" max="15887" width="8" style="42" customWidth="1"/>
    <col min="15888" max="15888" width="11.42578125" style="42" customWidth="1"/>
    <col min="15889" max="15889" width="11.7109375" style="42" customWidth="1"/>
    <col min="15890" max="15890" width="13.42578125" style="42" customWidth="1"/>
    <col min="15891" max="15891" width="10.7109375" style="42" customWidth="1"/>
    <col min="15892" max="15892" width="11.42578125" style="42" customWidth="1"/>
    <col min="15893" max="15893" width="13" style="42" customWidth="1"/>
    <col min="15894" max="15894" width="17.85546875" style="42" customWidth="1"/>
    <col min="15895" max="16128" width="8.85546875" style="42"/>
    <col min="16129" max="16129" width="6.7109375" style="42" customWidth="1"/>
    <col min="16130" max="16130" width="32.85546875" style="42" customWidth="1"/>
    <col min="16131" max="16131" width="12.42578125" style="42" customWidth="1"/>
    <col min="16132" max="16132" width="13.42578125" style="42" customWidth="1"/>
    <col min="16133" max="16134" width="12.85546875" style="42" customWidth="1"/>
    <col min="16135" max="16135" width="8.7109375" style="42" customWidth="1"/>
    <col min="16136" max="16136" width="13.140625" style="42" customWidth="1"/>
    <col min="16137" max="16137" width="11.28515625" style="42" customWidth="1"/>
    <col min="16138" max="16138" width="13.42578125" style="42" customWidth="1"/>
    <col min="16139" max="16139" width="8.28515625" style="42" customWidth="1"/>
    <col min="16140" max="16141" width="11.42578125" style="42" customWidth="1"/>
    <col min="16142" max="16142" width="13.5703125" style="42" customWidth="1"/>
    <col min="16143" max="16143" width="8" style="42" customWidth="1"/>
    <col min="16144" max="16144" width="11.42578125" style="42" customWidth="1"/>
    <col min="16145" max="16145" width="11.7109375" style="42" customWidth="1"/>
    <col min="16146" max="16146" width="13.42578125" style="42" customWidth="1"/>
    <col min="16147" max="16147" width="10.7109375" style="42" customWidth="1"/>
    <col min="16148" max="16148" width="11.42578125" style="42" customWidth="1"/>
    <col min="16149" max="16149" width="13" style="42" customWidth="1"/>
    <col min="16150" max="16150" width="17.85546875" style="42" customWidth="1"/>
    <col min="16151" max="16384" width="8.85546875" style="42"/>
  </cols>
  <sheetData>
    <row r="1" spans="1:22">
      <c r="L1" s="43"/>
      <c r="M1" s="43"/>
      <c r="P1" s="311" t="s">
        <v>66</v>
      </c>
      <c r="Q1" s="311"/>
    </row>
    <row r="2" spans="1:22">
      <c r="L2" s="43"/>
      <c r="M2" s="43"/>
      <c r="N2" s="311" t="s">
        <v>67</v>
      </c>
      <c r="O2" s="311"/>
      <c r="P2" s="311"/>
      <c r="Q2" s="311"/>
    </row>
    <row r="3" spans="1:22">
      <c r="L3" s="43"/>
      <c r="M3" s="43"/>
      <c r="N3" s="311" t="s">
        <v>68</v>
      </c>
      <c r="O3" s="311"/>
      <c r="P3" s="311"/>
      <c r="Q3" s="311"/>
    </row>
    <row r="4" spans="1:22">
      <c r="L4" s="43"/>
      <c r="M4" s="43"/>
      <c r="N4" s="311" t="s">
        <v>69</v>
      </c>
      <c r="O4" s="311"/>
      <c r="P4" s="311"/>
      <c r="Q4" s="311"/>
    </row>
    <row r="5" spans="1:22">
      <c r="L5" s="43"/>
      <c r="M5" s="43"/>
      <c r="N5" s="311" t="s">
        <v>70</v>
      </c>
      <c r="O5" s="311"/>
      <c r="P5" s="311"/>
      <c r="Q5" s="311"/>
    </row>
    <row r="6" spans="1:22" ht="28.5" customHeight="1">
      <c r="L6" s="43"/>
      <c r="M6" s="43"/>
    </row>
    <row r="7" spans="1:22" customFormat="1" ht="18.75">
      <c r="A7" s="312" t="s">
        <v>71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44"/>
    </row>
    <row r="8" spans="1:22" customFormat="1" ht="18.75" customHeight="1">
      <c r="A8" s="313" t="s">
        <v>72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45"/>
    </row>
    <row r="9" spans="1:22" customFormat="1" ht="18.75" customHeight="1">
      <c r="A9" s="313" t="s">
        <v>73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45"/>
    </row>
    <row r="10" spans="1:22" customFormat="1" ht="18.75">
      <c r="A10" s="312" t="s">
        <v>74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44"/>
    </row>
    <row r="11" spans="1:22" customFormat="1" ht="18.75">
      <c r="A11" s="314" t="s">
        <v>509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44"/>
    </row>
    <row r="12" spans="1:22" customFormat="1" ht="18.75">
      <c r="A12" s="315" t="s">
        <v>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46"/>
    </row>
    <row r="13" spans="1:22" customFormat="1" ht="15.75">
      <c r="A13" s="310" t="s">
        <v>7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47"/>
    </row>
    <row r="14" spans="1:22" ht="23.25" customHeight="1">
      <c r="A14" s="300" t="s">
        <v>76</v>
      </c>
      <c r="B14" s="301" t="s">
        <v>0</v>
      </c>
      <c r="C14" s="299" t="s">
        <v>77</v>
      </c>
      <c r="D14" s="300" t="s">
        <v>8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299" t="s">
        <v>12</v>
      </c>
      <c r="Q14" s="299" t="s">
        <v>13</v>
      </c>
      <c r="R14" s="48"/>
      <c r="S14" s="48"/>
      <c r="T14" s="48"/>
      <c r="U14" s="48"/>
      <c r="V14" s="49"/>
    </row>
    <row r="15" spans="1:22" ht="17.25" customHeight="1">
      <c r="A15" s="300"/>
      <c r="B15" s="302"/>
      <c r="C15" s="299"/>
      <c r="D15" s="300" t="s">
        <v>11</v>
      </c>
      <c r="E15" s="300"/>
      <c r="F15" s="300"/>
      <c r="G15" s="300"/>
      <c r="H15" s="300" t="s">
        <v>78</v>
      </c>
      <c r="I15" s="300"/>
      <c r="J15" s="300"/>
      <c r="K15" s="300"/>
      <c r="L15" s="304" t="s">
        <v>79</v>
      </c>
      <c r="M15" s="305"/>
      <c r="N15" s="305"/>
      <c r="O15" s="306"/>
      <c r="P15" s="299"/>
      <c r="Q15" s="299"/>
      <c r="R15" s="50"/>
      <c r="S15" s="50"/>
      <c r="T15" s="50"/>
      <c r="U15" s="50"/>
      <c r="V15" s="50"/>
    </row>
    <row r="16" spans="1:22" ht="21" customHeight="1">
      <c r="A16" s="300"/>
      <c r="B16" s="302"/>
      <c r="C16" s="299"/>
      <c r="D16" s="300"/>
      <c r="E16" s="300"/>
      <c r="F16" s="300"/>
      <c r="G16" s="300"/>
      <c r="H16" s="300"/>
      <c r="I16" s="300"/>
      <c r="J16" s="300"/>
      <c r="K16" s="300"/>
      <c r="L16" s="307"/>
      <c r="M16" s="308"/>
      <c r="N16" s="308"/>
      <c r="O16" s="309"/>
      <c r="P16" s="299"/>
      <c r="Q16" s="299"/>
      <c r="R16" s="50"/>
      <c r="S16" s="50"/>
      <c r="T16" s="50"/>
      <c r="U16" s="50"/>
      <c r="V16" s="50"/>
    </row>
    <row r="17" spans="1:22" ht="27" customHeight="1">
      <c r="A17" s="300"/>
      <c r="B17" s="302"/>
      <c r="C17" s="299"/>
      <c r="D17" s="297" t="s">
        <v>80</v>
      </c>
      <c r="E17" s="294" t="s">
        <v>14</v>
      </c>
      <c r="F17" s="295"/>
      <c r="G17" s="296"/>
      <c r="H17" s="297" t="s">
        <v>80</v>
      </c>
      <c r="I17" s="294" t="s">
        <v>14</v>
      </c>
      <c r="J17" s="295"/>
      <c r="K17" s="296"/>
      <c r="L17" s="297" t="s">
        <v>80</v>
      </c>
      <c r="M17" s="294" t="s">
        <v>14</v>
      </c>
      <c r="N17" s="295"/>
      <c r="O17" s="296"/>
      <c r="P17" s="299"/>
      <c r="Q17" s="299"/>
      <c r="R17" s="50"/>
      <c r="S17" s="50"/>
      <c r="T17" s="50"/>
      <c r="U17" s="50"/>
      <c r="V17" s="50"/>
    </row>
    <row r="18" spans="1:22" ht="47.25">
      <c r="A18" s="300"/>
      <c r="B18" s="303"/>
      <c r="C18" s="299"/>
      <c r="D18" s="298"/>
      <c r="E18" s="51" t="s">
        <v>4</v>
      </c>
      <c r="F18" s="51" t="s">
        <v>1</v>
      </c>
      <c r="G18" s="150" t="s">
        <v>15</v>
      </c>
      <c r="H18" s="298"/>
      <c r="I18" s="51" t="s">
        <v>4</v>
      </c>
      <c r="J18" s="51" t="s">
        <v>1</v>
      </c>
      <c r="K18" s="150" t="s">
        <v>15</v>
      </c>
      <c r="L18" s="298"/>
      <c r="M18" s="51" t="s">
        <v>4</v>
      </c>
      <c r="N18" s="51" t="s">
        <v>1</v>
      </c>
      <c r="O18" s="150" t="s">
        <v>15</v>
      </c>
      <c r="P18" s="299"/>
      <c r="Q18" s="299"/>
      <c r="R18" s="49"/>
      <c r="S18" s="48"/>
      <c r="T18" s="48"/>
      <c r="U18" s="48"/>
      <c r="V18" s="48"/>
    </row>
    <row r="19" spans="1:22" s="54" customFormat="1">
      <c r="A19" s="52">
        <v>1</v>
      </c>
      <c r="B19" s="52">
        <v>2</v>
      </c>
      <c r="C19" s="52">
        <v>3</v>
      </c>
      <c r="D19" s="52">
        <v>4</v>
      </c>
      <c r="E19" s="52"/>
      <c r="F19" s="52">
        <v>5</v>
      </c>
      <c r="G19" s="52">
        <v>6</v>
      </c>
      <c r="H19" s="52">
        <v>7</v>
      </c>
      <c r="I19" s="52"/>
      <c r="J19" s="52">
        <v>8</v>
      </c>
      <c r="K19" s="52">
        <v>9</v>
      </c>
      <c r="L19" s="52">
        <v>10</v>
      </c>
      <c r="M19" s="52"/>
      <c r="N19" s="52">
        <v>11</v>
      </c>
      <c r="O19" s="52">
        <v>12</v>
      </c>
      <c r="P19" s="52">
        <v>15</v>
      </c>
      <c r="Q19" s="52">
        <v>18</v>
      </c>
      <c r="R19" s="53"/>
    </row>
    <row r="20" spans="1:22" s="57" customFormat="1" ht="22.5" customHeight="1">
      <c r="A20" s="55"/>
      <c r="B20" s="289" t="s">
        <v>81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1"/>
      <c r="R20" s="56"/>
    </row>
    <row r="21" spans="1:22" s="57" customFormat="1" ht="149.25" customHeight="1">
      <c r="A21" s="58" t="s">
        <v>16</v>
      </c>
      <c r="B21" s="59" t="s">
        <v>82</v>
      </c>
      <c r="C21" s="60">
        <f t="shared" ref="C21:O21" si="0">C22+C24+C27</f>
        <v>900</v>
      </c>
      <c r="D21" s="60">
        <f t="shared" si="0"/>
        <v>900</v>
      </c>
      <c r="E21" s="60">
        <f t="shared" si="0"/>
        <v>0</v>
      </c>
      <c r="F21" s="60">
        <f t="shared" si="0"/>
        <v>900</v>
      </c>
      <c r="G21" s="60">
        <f t="shared" si="0"/>
        <v>0</v>
      </c>
      <c r="H21" s="60">
        <f t="shared" si="0"/>
        <v>899.9</v>
      </c>
      <c r="I21" s="60">
        <f t="shared" si="0"/>
        <v>0</v>
      </c>
      <c r="J21" s="60">
        <f t="shared" si="0"/>
        <v>899.9</v>
      </c>
      <c r="K21" s="60">
        <f t="shared" si="0"/>
        <v>0</v>
      </c>
      <c r="L21" s="60">
        <f t="shared" si="0"/>
        <v>899.9</v>
      </c>
      <c r="M21" s="60">
        <f t="shared" si="0"/>
        <v>0</v>
      </c>
      <c r="N21" s="60">
        <f t="shared" si="0"/>
        <v>899.9</v>
      </c>
      <c r="O21" s="60">
        <f t="shared" si="0"/>
        <v>0</v>
      </c>
      <c r="P21" s="61">
        <f>L21/D21</f>
        <v>0.99990000000000001</v>
      </c>
      <c r="Q21" s="61">
        <f>L21/D21</f>
        <v>0.99990000000000001</v>
      </c>
      <c r="R21" s="56"/>
    </row>
    <row r="22" spans="1:22" s="57" customFormat="1" ht="78.599999999999994" customHeight="1">
      <c r="A22" s="62" t="s">
        <v>18</v>
      </c>
      <c r="B22" s="63" t="s">
        <v>83</v>
      </c>
      <c r="C22" s="64">
        <f>C23</f>
        <v>900</v>
      </c>
      <c r="D22" s="64">
        <f t="shared" ref="D22:O22" si="1">D23</f>
        <v>900</v>
      </c>
      <c r="E22" s="64">
        <f t="shared" si="1"/>
        <v>0</v>
      </c>
      <c r="F22" s="64">
        <f t="shared" si="1"/>
        <v>900</v>
      </c>
      <c r="G22" s="64">
        <f t="shared" si="1"/>
        <v>0</v>
      </c>
      <c r="H22" s="64">
        <f t="shared" si="1"/>
        <v>899.9</v>
      </c>
      <c r="I22" s="64">
        <f t="shared" si="1"/>
        <v>0</v>
      </c>
      <c r="J22" s="64">
        <f t="shared" si="1"/>
        <v>899.9</v>
      </c>
      <c r="K22" s="64">
        <f t="shared" si="1"/>
        <v>0</v>
      </c>
      <c r="L22" s="64">
        <f t="shared" si="1"/>
        <v>899.9</v>
      </c>
      <c r="M22" s="64">
        <f t="shared" si="1"/>
        <v>0</v>
      </c>
      <c r="N22" s="64">
        <f t="shared" si="1"/>
        <v>899.9</v>
      </c>
      <c r="O22" s="64">
        <f t="shared" si="1"/>
        <v>0</v>
      </c>
      <c r="P22" s="66">
        <f t="shared" ref="P22:P23" si="2">L22/D22</f>
        <v>0.99990000000000001</v>
      </c>
      <c r="Q22" s="66">
        <f t="shared" ref="Q22:Q23" si="3">L22/D22</f>
        <v>0.99990000000000001</v>
      </c>
      <c r="R22" s="56"/>
    </row>
    <row r="23" spans="1:22" s="57" customFormat="1" ht="114.6" customHeight="1">
      <c r="A23" s="62"/>
      <c r="B23" s="63" t="s">
        <v>531</v>
      </c>
      <c r="C23" s="64">
        <v>900</v>
      </c>
      <c r="D23" s="65">
        <v>900</v>
      </c>
      <c r="E23" s="65">
        <v>0</v>
      </c>
      <c r="F23" s="68">
        <v>900</v>
      </c>
      <c r="G23" s="69">
        <v>0</v>
      </c>
      <c r="H23" s="65">
        <v>899.9</v>
      </c>
      <c r="I23" s="70">
        <v>0</v>
      </c>
      <c r="J23" s="70">
        <f>H23</f>
        <v>899.9</v>
      </c>
      <c r="K23" s="70">
        <v>0</v>
      </c>
      <c r="L23" s="65">
        <v>899.9</v>
      </c>
      <c r="M23" s="70">
        <v>0</v>
      </c>
      <c r="N23" s="70">
        <f>L23</f>
        <v>899.9</v>
      </c>
      <c r="O23" s="69">
        <v>0</v>
      </c>
      <c r="P23" s="66">
        <f t="shared" si="2"/>
        <v>0.99990000000000001</v>
      </c>
      <c r="Q23" s="66">
        <f t="shared" si="3"/>
        <v>0.99990000000000001</v>
      </c>
      <c r="R23" s="56"/>
    </row>
    <row r="24" spans="1:22" s="57" customFormat="1" ht="64.900000000000006" customHeight="1">
      <c r="A24" s="71" t="s">
        <v>84</v>
      </c>
      <c r="B24" s="72" t="s">
        <v>85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7">
        <v>0</v>
      </c>
      <c r="Q24" s="67">
        <v>0</v>
      </c>
      <c r="R24" s="56"/>
    </row>
    <row r="25" spans="1:22" s="57" customFormat="1" ht="214.5" customHeight="1">
      <c r="A25" s="71"/>
      <c r="B25" s="73" t="s">
        <v>86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7">
        <v>0</v>
      </c>
      <c r="Q25" s="67">
        <v>0</v>
      </c>
      <c r="R25" s="56"/>
    </row>
    <row r="26" spans="1:22" s="57" customFormat="1" ht="141" customHeight="1">
      <c r="A26" s="71"/>
      <c r="B26" s="72" t="s">
        <v>87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7">
        <v>0</v>
      </c>
      <c r="Q26" s="67">
        <v>0</v>
      </c>
      <c r="R26" s="56"/>
    </row>
    <row r="27" spans="1:22" s="57" customFormat="1" ht="69.75" customHeight="1">
      <c r="A27" s="62" t="s">
        <v>88</v>
      </c>
      <c r="B27" s="63" t="s">
        <v>89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7">
        <v>0</v>
      </c>
      <c r="Q27" s="67">
        <v>0</v>
      </c>
      <c r="R27" s="56"/>
    </row>
    <row r="28" spans="1:22" s="57" customFormat="1" ht="69.75" customHeight="1">
      <c r="A28" s="62"/>
      <c r="B28" s="63" t="s">
        <v>90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7">
        <v>0</v>
      </c>
      <c r="Q28" s="67">
        <v>0</v>
      </c>
      <c r="R28" s="56"/>
    </row>
    <row r="29" spans="1:22" s="57" customFormat="1" ht="69.75" customHeight="1">
      <c r="A29" s="62"/>
      <c r="B29" s="63" t="s">
        <v>91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7">
        <v>0</v>
      </c>
      <c r="Q29" s="67">
        <v>0</v>
      </c>
      <c r="R29" s="56"/>
    </row>
    <row r="30" spans="1:22" s="248" customFormat="1" ht="161.25" customHeight="1">
      <c r="A30" s="244"/>
      <c r="B30" s="245" t="s">
        <v>92</v>
      </c>
      <c r="C30" s="246">
        <f>C21</f>
        <v>900</v>
      </c>
      <c r="D30" s="249">
        <f>D21</f>
        <v>900</v>
      </c>
      <c r="E30" s="249">
        <v>0</v>
      </c>
      <c r="F30" s="249">
        <f>D30</f>
        <v>900</v>
      </c>
      <c r="G30" s="249">
        <v>0</v>
      </c>
      <c r="H30" s="249">
        <f>H21</f>
        <v>899.9</v>
      </c>
      <c r="I30" s="249">
        <v>0</v>
      </c>
      <c r="J30" s="249">
        <f>H30</f>
        <v>899.9</v>
      </c>
      <c r="K30" s="249">
        <v>0</v>
      </c>
      <c r="L30" s="249">
        <f>L21</f>
        <v>899.9</v>
      </c>
      <c r="M30" s="249">
        <v>0</v>
      </c>
      <c r="N30" s="249">
        <v>899.9</v>
      </c>
      <c r="O30" s="249">
        <v>0</v>
      </c>
      <c r="P30" s="250">
        <f>L30/D30</f>
        <v>0.99990000000000001</v>
      </c>
      <c r="Q30" s="251">
        <f t="shared" ref="Q30" si="4">L30/D30</f>
        <v>0.99990000000000001</v>
      </c>
      <c r="R30" s="247"/>
    </row>
    <row r="31" spans="1:22" s="57" customFormat="1" ht="22.5" customHeight="1">
      <c r="A31" s="55"/>
      <c r="B31" s="289" t="s">
        <v>93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1"/>
      <c r="R31" s="56"/>
    </row>
    <row r="32" spans="1:22" s="78" customFormat="1" ht="99.75" customHeight="1">
      <c r="A32" s="74" t="s">
        <v>24</v>
      </c>
      <c r="B32" s="75" t="s">
        <v>94</v>
      </c>
      <c r="C32" s="76">
        <f>C33+C37</f>
        <v>1181.8</v>
      </c>
      <c r="D32" s="76">
        <f>E32+F32+G32</f>
        <v>1181.8</v>
      </c>
      <c r="E32" s="76">
        <f t="shared" ref="E32:O32" si="5">E33+E37</f>
        <v>0</v>
      </c>
      <c r="F32" s="76">
        <f t="shared" si="5"/>
        <v>1181.8</v>
      </c>
      <c r="G32" s="76">
        <f t="shared" si="5"/>
        <v>0</v>
      </c>
      <c r="H32" s="76">
        <f t="shared" si="5"/>
        <v>972.64</v>
      </c>
      <c r="I32" s="76">
        <f t="shared" si="5"/>
        <v>0</v>
      </c>
      <c r="J32" s="76">
        <f t="shared" si="5"/>
        <v>972.64</v>
      </c>
      <c r="K32" s="76">
        <f t="shared" si="5"/>
        <v>0</v>
      </c>
      <c r="L32" s="76">
        <f t="shared" si="5"/>
        <v>972.64</v>
      </c>
      <c r="M32" s="76">
        <f t="shared" si="5"/>
        <v>0</v>
      </c>
      <c r="N32" s="76">
        <f t="shared" si="5"/>
        <v>972.64</v>
      </c>
      <c r="O32" s="76">
        <f t="shared" si="5"/>
        <v>0</v>
      </c>
      <c r="P32" s="61">
        <f>L32/D32</f>
        <v>0.82299999999999995</v>
      </c>
      <c r="Q32" s="61">
        <f>L32/D32</f>
        <v>0.82299999999999995</v>
      </c>
      <c r="R32" s="77"/>
    </row>
    <row r="33" spans="1:18" s="57" customFormat="1" ht="87.75" customHeight="1">
      <c r="A33" s="62" t="s">
        <v>26</v>
      </c>
      <c r="B33" s="63" t="s">
        <v>95</v>
      </c>
      <c r="C33" s="64">
        <f>C34+C35+C36</f>
        <v>1106.8</v>
      </c>
      <c r="D33" s="64">
        <f>E33+F33+G33</f>
        <v>1106.8</v>
      </c>
      <c r="E33" s="64">
        <f t="shared" ref="E33:O33" si="6">E34+E35+E36</f>
        <v>0</v>
      </c>
      <c r="F33" s="64">
        <f t="shared" si="6"/>
        <v>1106.8</v>
      </c>
      <c r="G33" s="64">
        <f t="shared" si="6"/>
        <v>0</v>
      </c>
      <c r="H33" s="64">
        <f>I33+J33+K33</f>
        <v>972.64</v>
      </c>
      <c r="I33" s="64">
        <f t="shared" si="6"/>
        <v>0</v>
      </c>
      <c r="J33" s="64">
        <v>972.64</v>
      </c>
      <c r="K33" s="64">
        <f t="shared" si="6"/>
        <v>0</v>
      </c>
      <c r="L33" s="64">
        <f>M33+N33+O33</f>
        <v>972.64</v>
      </c>
      <c r="M33" s="64">
        <f t="shared" si="6"/>
        <v>0</v>
      </c>
      <c r="N33" s="64">
        <v>972.64</v>
      </c>
      <c r="O33" s="64">
        <f t="shared" si="6"/>
        <v>0</v>
      </c>
      <c r="P33" s="66">
        <f>H33/D33</f>
        <v>0.87880000000000003</v>
      </c>
      <c r="Q33" s="66">
        <f>L33/D33</f>
        <v>0.87880000000000003</v>
      </c>
      <c r="R33" s="56"/>
    </row>
    <row r="34" spans="1:18" s="57" customFormat="1" ht="142.9" customHeight="1">
      <c r="A34" s="62"/>
      <c r="B34" s="63" t="s">
        <v>532</v>
      </c>
      <c r="C34" s="64">
        <v>402.8</v>
      </c>
      <c r="D34" s="64">
        <f t="shared" ref="D34:D40" si="7">E34+F34+G34</f>
        <v>402.8</v>
      </c>
      <c r="E34" s="64">
        <v>0</v>
      </c>
      <c r="F34" s="64">
        <v>402.8</v>
      </c>
      <c r="G34" s="64">
        <v>0</v>
      </c>
      <c r="H34" s="64">
        <f t="shared" ref="H34:H36" si="8">I34+J34+K34</f>
        <v>402.8</v>
      </c>
      <c r="I34" s="64">
        <v>0</v>
      </c>
      <c r="J34" s="64">
        <v>402.8</v>
      </c>
      <c r="K34" s="64">
        <v>0</v>
      </c>
      <c r="L34" s="64">
        <v>402.8</v>
      </c>
      <c r="M34" s="64">
        <v>0</v>
      </c>
      <c r="N34" s="64">
        <f>L34</f>
        <v>402.8</v>
      </c>
      <c r="O34" s="64">
        <v>0</v>
      </c>
      <c r="P34" s="66">
        <f>L34/D34</f>
        <v>1</v>
      </c>
      <c r="Q34" s="66">
        <f>L34/D34</f>
        <v>1</v>
      </c>
      <c r="R34" s="56"/>
    </row>
    <row r="35" spans="1:18" s="57" customFormat="1" ht="112.9" customHeight="1">
      <c r="A35" s="62"/>
      <c r="B35" s="63" t="s">
        <v>533</v>
      </c>
      <c r="C35" s="64">
        <v>504</v>
      </c>
      <c r="D35" s="64">
        <f t="shared" si="7"/>
        <v>504</v>
      </c>
      <c r="E35" s="65">
        <v>0</v>
      </c>
      <c r="F35" s="68">
        <v>504</v>
      </c>
      <c r="G35" s="69">
        <v>0</v>
      </c>
      <c r="H35" s="64">
        <f t="shared" si="8"/>
        <v>395.93</v>
      </c>
      <c r="I35" s="69">
        <v>0</v>
      </c>
      <c r="J35" s="68">
        <v>395.93</v>
      </c>
      <c r="K35" s="69">
        <v>0</v>
      </c>
      <c r="L35" s="68">
        <f>N35</f>
        <v>395.93</v>
      </c>
      <c r="M35" s="69">
        <v>0</v>
      </c>
      <c r="N35" s="68">
        <v>395.93</v>
      </c>
      <c r="O35" s="69">
        <v>0</v>
      </c>
      <c r="P35" s="66">
        <f>L35/D35</f>
        <v>0.78559999999999997</v>
      </c>
      <c r="Q35" s="66">
        <f>L35/D35</f>
        <v>0.78559999999999997</v>
      </c>
      <c r="R35" s="56"/>
    </row>
    <row r="36" spans="1:18" s="57" customFormat="1" ht="85.9" customHeight="1">
      <c r="A36" s="62"/>
      <c r="B36" s="63" t="s">
        <v>534</v>
      </c>
      <c r="C36" s="64">
        <v>200</v>
      </c>
      <c r="D36" s="64">
        <f t="shared" si="7"/>
        <v>200</v>
      </c>
      <c r="E36" s="64">
        <v>0</v>
      </c>
      <c r="F36" s="64">
        <v>200</v>
      </c>
      <c r="G36" s="64">
        <v>0</v>
      </c>
      <c r="H36" s="64">
        <f t="shared" si="8"/>
        <v>173.91</v>
      </c>
      <c r="I36" s="64">
        <v>0</v>
      </c>
      <c r="J36" s="64">
        <v>173.91</v>
      </c>
      <c r="K36" s="64">
        <v>0</v>
      </c>
      <c r="L36" s="64">
        <f>M36+N36+O36</f>
        <v>173.91</v>
      </c>
      <c r="M36" s="64">
        <v>0</v>
      </c>
      <c r="N36" s="64">
        <v>173.91</v>
      </c>
      <c r="O36" s="64">
        <v>0</v>
      </c>
      <c r="P36" s="66">
        <f>J36/D36</f>
        <v>0.86960000000000004</v>
      </c>
      <c r="Q36" s="66">
        <f>N36/D36</f>
        <v>0.86960000000000004</v>
      </c>
      <c r="R36" s="56"/>
    </row>
    <row r="37" spans="1:18" s="78" customFormat="1" ht="69.75" customHeight="1">
      <c r="A37" s="74" t="s">
        <v>27</v>
      </c>
      <c r="B37" s="75" t="s">
        <v>96</v>
      </c>
      <c r="C37" s="76">
        <f>C38+C39+C40</f>
        <v>75</v>
      </c>
      <c r="D37" s="76">
        <f t="shared" ref="D37:O37" si="9">D38+D39+D40</f>
        <v>75</v>
      </c>
      <c r="E37" s="76">
        <f t="shared" si="9"/>
        <v>0</v>
      </c>
      <c r="F37" s="76">
        <f t="shared" si="9"/>
        <v>75</v>
      </c>
      <c r="G37" s="76">
        <f t="shared" si="9"/>
        <v>0</v>
      </c>
      <c r="H37" s="76">
        <f t="shared" si="9"/>
        <v>0</v>
      </c>
      <c r="I37" s="76">
        <f t="shared" si="9"/>
        <v>0</v>
      </c>
      <c r="J37" s="76">
        <f t="shared" si="9"/>
        <v>0</v>
      </c>
      <c r="K37" s="76">
        <f t="shared" si="9"/>
        <v>0</v>
      </c>
      <c r="L37" s="76">
        <f t="shared" si="9"/>
        <v>0</v>
      </c>
      <c r="M37" s="76">
        <f t="shared" si="9"/>
        <v>0</v>
      </c>
      <c r="N37" s="76">
        <f t="shared" si="9"/>
        <v>0</v>
      </c>
      <c r="O37" s="76">
        <f t="shared" si="9"/>
        <v>0</v>
      </c>
      <c r="P37" s="66">
        <v>0</v>
      </c>
      <c r="Q37" s="66">
        <v>0</v>
      </c>
      <c r="R37" s="77"/>
    </row>
    <row r="38" spans="1:18" s="57" customFormat="1" ht="174" customHeight="1">
      <c r="A38" s="62"/>
      <c r="B38" s="63" t="s">
        <v>97</v>
      </c>
      <c r="C38" s="64">
        <v>0</v>
      </c>
      <c r="D38" s="64">
        <f t="shared" si="7"/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  <c r="R38" s="56"/>
    </row>
    <row r="39" spans="1:18" s="57" customFormat="1" ht="192" customHeight="1">
      <c r="A39" s="62"/>
      <c r="B39" s="63" t="s">
        <v>98</v>
      </c>
      <c r="C39" s="64">
        <v>0</v>
      </c>
      <c r="D39" s="64">
        <f t="shared" si="7"/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  <c r="R39" s="56"/>
    </row>
    <row r="40" spans="1:18" s="57" customFormat="1" ht="101.45" customHeight="1">
      <c r="A40" s="62"/>
      <c r="B40" s="63" t="s">
        <v>535</v>
      </c>
      <c r="C40" s="64">
        <v>75</v>
      </c>
      <c r="D40" s="64">
        <f t="shared" si="7"/>
        <v>75</v>
      </c>
      <c r="E40" s="65">
        <v>0</v>
      </c>
      <c r="F40" s="65">
        <v>75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  <c r="R40" s="56"/>
    </row>
    <row r="41" spans="1:18" s="243" customFormat="1" ht="69.75" customHeight="1">
      <c r="A41" s="238"/>
      <c r="B41" s="239" t="s">
        <v>99</v>
      </c>
      <c r="C41" s="240">
        <f>C32</f>
        <v>1181.8</v>
      </c>
      <c r="D41" s="240">
        <f t="shared" ref="D41:O41" si="10">D32</f>
        <v>1181.8</v>
      </c>
      <c r="E41" s="240">
        <f t="shared" si="10"/>
        <v>0</v>
      </c>
      <c r="F41" s="240">
        <f t="shared" si="10"/>
        <v>1181.8</v>
      </c>
      <c r="G41" s="240">
        <f t="shared" si="10"/>
        <v>0</v>
      </c>
      <c r="H41" s="240">
        <f t="shared" si="10"/>
        <v>972.64</v>
      </c>
      <c r="I41" s="240">
        <f t="shared" si="10"/>
        <v>0</v>
      </c>
      <c r="J41" s="240">
        <f t="shared" si="10"/>
        <v>972.64</v>
      </c>
      <c r="K41" s="240">
        <f t="shared" si="10"/>
        <v>0</v>
      </c>
      <c r="L41" s="240">
        <f t="shared" si="10"/>
        <v>972.64</v>
      </c>
      <c r="M41" s="240">
        <f t="shared" si="10"/>
        <v>0</v>
      </c>
      <c r="N41" s="240">
        <f t="shared" si="10"/>
        <v>972.64</v>
      </c>
      <c r="O41" s="240">
        <f t="shared" si="10"/>
        <v>0</v>
      </c>
      <c r="P41" s="241">
        <f>L41/D41</f>
        <v>0.82299999999999995</v>
      </c>
      <c r="Q41" s="241">
        <f>L41/D41</f>
        <v>0.82299999999999995</v>
      </c>
      <c r="R41" s="242"/>
    </row>
    <row r="42" spans="1:18" s="84" customFormat="1" ht="27" customHeight="1">
      <c r="A42" s="79"/>
      <c r="B42" s="80" t="s">
        <v>100</v>
      </c>
      <c r="C42" s="81">
        <f t="shared" ref="C42:O42" si="11">C21+C32</f>
        <v>2081.8000000000002</v>
      </c>
      <c r="D42" s="81">
        <f t="shared" si="11"/>
        <v>2081.8000000000002</v>
      </c>
      <c r="E42" s="81">
        <f t="shared" si="11"/>
        <v>0</v>
      </c>
      <c r="F42" s="81">
        <f t="shared" si="11"/>
        <v>2081.8000000000002</v>
      </c>
      <c r="G42" s="81">
        <f t="shared" si="11"/>
        <v>0</v>
      </c>
      <c r="H42" s="81">
        <f t="shared" si="11"/>
        <v>1872.54</v>
      </c>
      <c r="I42" s="81">
        <f t="shared" si="11"/>
        <v>0</v>
      </c>
      <c r="J42" s="81">
        <f t="shared" si="11"/>
        <v>1872.54</v>
      </c>
      <c r="K42" s="81">
        <f t="shared" si="11"/>
        <v>0</v>
      </c>
      <c r="L42" s="81">
        <f t="shared" si="11"/>
        <v>1872.54</v>
      </c>
      <c r="M42" s="81">
        <f t="shared" si="11"/>
        <v>0</v>
      </c>
      <c r="N42" s="81">
        <f t="shared" si="11"/>
        <v>1872.54</v>
      </c>
      <c r="O42" s="81">
        <f t="shared" si="11"/>
        <v>0</v>
      </c>
      <c r="P42" s="82">
        <f>H42/D42</f>
        <v>0.89949999999999997</v>
      </c>
      <c r="Q42" s="82">
        <f>L42/D42</f>
        <v>0.89949999999999997</v>
      </c>
      <c r="R42" s="83"/>
    </row>
    <row r="44" spans="1:18" customFormat="1">
      <c r="N44" s="86"/>
      <c r="O44" s="86"/>
      <c r="P44" s="86"/>
    </row>
    <row r="45" spans="1:18" customFormat="1">
      <c r="N45" s="86"/>
      <c r="O45" s="86"/>
      <c r="P45" s="86"/>
    </row>
    <row r="46" spans="1:18" customFormat="1" ht="15.75">
      <c r="A46" s="47" t="s">
        <v>446</v>
      </c>
      <c r="B46" s="87"/>
      <c r="C46" s="87"/>
      <c r="D46" s="87"/>
      <c r="E46" s="87"/>
      <c r="F46" s="87"/>
      <c r="G46" s="292"/>
      <c r="H46" s="292"/>
      <c r="I46" s="149"/>
      <c r="J46" s="293" t="s">
        <v>447</v>
      </c>
      <c r="K46" s="293"/>
      <c r="L46" s="47"/>
      <c r="M46" s="47"/>
      <c r="N46" s="88"/>
      <c r="O46" s="88"/>
      <c r="P46" s="88"/>
      <c r="Q46" s="47"/>
      <c r="R46" s="47"/>
    </row>
    <row r="47" spans="1:18" customFormat="1" ht="23.25" customHeight="1">
      <c r="C47" s="89"/>
      <c r="N47" s="86"/>
      <c r="O47" s="86"/>
      <c r="P47" s="86"/>
    </row>
    <row r="48" spans="1:18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4:6">
      <c r="D49" s="90"/>
      <c r="E49" s="90"/>
      <c r="F49" s="90"/>
    </row>
    <row r="50" spans="4:6">
      <c r="D50" s="90"/>
      <c r="E50" s="90"/>
      <c r="F50" s="90"/>
    </row>
    <row r="51" spans="4:6">
      <c r="D51" s="90"/>
      <c r="E51" s="90"/>
      <c r="F51" s="90"/>
    </row>
    <row r="52" spans="4:6">
      <c r="D52" s="90"/>
      <c r="E52" s="90"/>
      <c r="F52" s="90"/>
    </row>
  </sheetData>
  <mergeCells count="31">
    <mergeCell ref="A13:Q13"/>
    <mergeCell ref="P1:Q1"/>
    <mergeCell ref="N2:Q2"/>
    <mergeCell ref="N3:Q3"/>
    <mergeCell ref="N4:Q4"/>
    <mergeCell ref="N5:Q5"/>
    <mergeCell ref="A7:Q7"/>
    <mergeCell ref="A8:Q8"/>
    <mergeCell ref="A9:Q9"/>
    <mergeCell ref="A10:Q10"/>
    <mergeCell ref="A11:Q11"/>
    <mergeCell ref="A12:Q12"/>
    <mergeCell ref="A14:A18"/>
    <mergeCell ref="B14:B18"/>
    <mergeCell ref="C14:C18"/>
    <mergeCell ref="D14:O14"/>
    <mergeCell ref="P14:P18"/>
    <mergeCell ref="D15:G16"/>
    <mergeCell ref="H15:K16"/>
    <mergeCell ref="L15:O16"/>
    <mergeCell ref="D17:D18"/>
    <mergeCell ref="B31:Q31"/>
    <mergeCell ref="G46:H46"/>
    <mergeCell ref="J46:K46"/>
    <mergeCell ref="E17:G17"/>
    <mergeCell ref="H17:H18"/>
    <mergeCell ref="I17:K17"/>
    <mergeCell ref="L17:L18"/>
    <mergeCell ref="M17:O17"/>
    <mergeCell ref="B20:Q20"/>
    <mergeCell ref="Q14:Q18"/>
  </mergeCells>
  <pageMargins left="0.7" right="0.7" top="0.75" bottom="0.75" header="0.3" footer="0.3"/>
  <pageSetup paperSize="9" scale="6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60" zoomScaleNormal="80" workbookViewId="0">
      <selection activeCell="B4" sqref="B4:P4"/>
    </sheetView>
  </sheetViews>
  <sheetFormatPr defaultRowHeight="15"/>
  <cols>
    <col min="1" max="1" width="6.140625" customWidth="1"/>
    <col min="2" max="2" width="53.7109375" customWidth="1"/>
    <col min="3" max="3" width="15.42578125" customWidth="1"/>
    <col min="4" max="4" width="10.28515625" customWidth="1"/>
    <col min="5" max="5" width="10.140625" customWidth="1"/>
    <col min="6" max="6" width="11.7109375" customWidth="1"/>
    <col min="7" max="7" width="12.28515625" customWidth="1"/>
    <col min="8" max="8" width="12.140625" customWidth="1"/>
    <col min="9" max="9" width="12.5703125" customWidth="1"/>
    <col min="10" max="10" width="14.140625" customWidth="1"/>
    <col min="11" max="11" width="11.85546875" customWidth="1"/>
    <col min="12" max="12" width="12.140625" customWidth="1"/>
    <col min="13" max="13" width="10.85546875" customWidth="1"/>
    <col min="14" max="14" width="12.42578125" customWidth="1"/>
    <col min="15" max="15" width="13" customWidth="1"/>
  </cols>
  <sheetData>
    <row r="1" spans="1:17" ht="19.5">
      <c r="H1" s="252" t="s">
        <v>374</v>
      </c>
    </row>
    <row r="2" spans="1:17" ht="16.5">
      <c r="H2" s="252" t="s">
        <v>375</v>
      </c>
    </row>
    <row r="3" spans="1:17" ht="16.5">
      <c r="H3" s="252" t="s">
        <v>376</v>
      </c>
    </row>
    <row r="4" spans="1:17" ht="16.5">
      <c r="B4" s="319" t="s">
        <v>396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7" ht="16.5">
      <c r="H5" s="252"/>
    </row>
    <row r="6" spans="1:17" ht="15" customHeight="1">
      <c r="E6" s="319" t="s">
        <v>537</v>
      </c>
      <c r="F6" s="319"/>
      <c r="G6" s="319"/>
      <c r="H6" s="319"/>
      <c r="I6" s="319"/>
      <c r="J6" s="319"/>
    </row>
    <row r="7" spans="1:17" ht="16.5">
      <c r="A7" s="151" t="s">
        <v>378</v>
      </c>
      <c r="E7" s="152" t="s">
        <v>379</v>
      </c>
      <c r="F7" s="152"/>
      <c r="G7" s="152"/>
      <c r="H7" s="152"/>
      <c r="I7" s="152"/>
      <c r="J7" s="152"/>
    </row>
    <row r="8" spans="1:17" ht="16.5">
      <c r="A8" s="153"/>
    </row>
    <row r="9" spans="1:17">
      <c r="A9" s="320" t="s">
        <v>33</v>
      </c>
      <c r="B9" s="321" t="s">
        <v>0</v>
      </c>
      <c r="C9" s="253" t="s">
        <v>380</v>
      </c>
      <c r="D9" s="320" t="s">
        <v>381</v>
      </c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</row>
    <row r="10" spans="1:17" ht="89.25">
      <c r="A10" s="320"/>
      <c r="B10" s="321"/>
      <c r="C10" s="253" t="s">
        <v>382</v>
      </c>
      <c r="D10" s="320" t="s">
        <v>538</v>
      </c>
      <c r="E10" s="320"/>
      <c r="F10" s="320"/>
      <c r="G10" s="320"/>
      <c r="H10" s="321" t="s">
        <v>101</v>
      </c>
      <c r="I10" s="321"/>
      <c r="J10" s="321"/>
      <c r="K10" s="321"/>
      <c r="L10" s="321" t="s">
        <v>383</v>
      </c>
      <c r="M10" s="321"/>
      <c r="N10" s="321"/>
      <c r="O10" s="321"/>
      <c r="P10" s="253" t="s">
        <v>12</v>
      </c>
      <c r="Q10" s="253" t="s">
        <v>13</v>
      </c>
    </row>
    <row r="11" spans="1:17" ht="38.25">
      <c r="A11" s="320"/>
      <c r="B11" s="321"/>
      <c r="C11" s="253" t="s">
        <v>384</v>
      </c>
      <c r="D11" s="320"/>
      <c r="E11" s="320"/>
      <c r="F11" s="320"/>
      <c r="G11" s="320"/>
      <c r="H11" s="321" t="s">
        <v>385</v>
      </c>
      <c r="I11" s="321"/>
      <c r="J11" s="321"/>
      <c r="K11" s="321"/>
      <c r="L11" s="321" t="s">
        <v>386</v>
      </c>
      <c r="M11" s="321"/>
      <c r="N11" s="321"/>
      <c r="O11" s="321"/>
      <c r="P11" s="253" t="s">
        <v>387</v>
      </c>
      <c r="Q11" s="253" t="s">
        <v>388</v>
      </c>
    </row>
    <row r="12" spans="1:17">
      <c r="A12" s="320"/>
      <c r="B12" s="321"/>
      <c r="C12" s="253" t="s">
        <v>389</v>
      </c>
      <c r="D12" s="320" t="s">
        <v>3</v>
      </c>
      <c r="E12" s="320" t="s">
        <v>14</v>
      </c>
      <c r="F12" s="320"/>
      <c r="G12" s="320"/>
      <c r="H12" s="320" t="s">
        <v>3</v>
      </c>
      <c r="I12" s="320" t="s">
        <v>14</v>
      </c>
      <c r="J12" s="320"/>
      <c r="K12" s="320"/>
      <c r="L12" s="320" t="s">
        <v>3</v>
      </c>
      <c r="M12" s="320" t="s">
        <v>14</v>
      </c>
      <c r="N12" s="320"/>
      <c r="O12" s="320"/>
      <c r="P12" s="154"/>
      <c r="Q12" s="154"/>
    </row>
    <row r="13" spans="1:17" ht="25.5">
      <c r="A13" s="320"/>
      <c r="B13" s="321"/>
      <c r="C13" s="154"/>
      <c r="D13" s="320"/>
      <c r="E13" s="253" t="s">
        <v>4</v>
      </c>
      <c r="F13" s="253" t="s">
        <v>1</v>
      </c>
      <c r="G13" s="253" t="s">
        <v>15</v>
      </c>
      <c r="H13" s="320"/>
      <c r="I13" s="253" t="s">
        <v>4</v>
      </c>
      <c r="J13" s="253" t="s">
        <v>1</v>
      </c>
      <c r="K13" s="253" t="s">
        <v>15</v>
      </c>
      <c r="L13" s="320"/>
      <c r="M13" s="253" t="s">
        <v>4</v>
      </c>
      <c r="N13" s="253" t="s">
        <v>1</v>
      </c>
      <c r="O13" s="253" t="s">
        <v>15</v>
      </c>
      <c r="P13" s="154"/>
      <c r="Q13" s="154"/>
    </row>
    <row r="14" spans="1:17">
      <c r="A14" s="155">
        <v>1</v>
      </c>
      <c r="B14" s="156">
        <v>2</v>
      </c>
      <c r="C14" s="155">
        <v>3</v>
      </c>
      <c r="D14" s="157">
        <v>4</v>
      </c>
      <c r="E14" s="155">
        <v>5</v>
      </c>
      <c r="F14" s="157">
        <v>6</v>
      </c>
      <c r="G14" s="155">
        <v>7</v>
      </c>
      <c r="H14" s="157">
        <v>8</v>
      </c>
      <c r="I14" s="155">
        <v>9</v>
      </c>
      <c r="J14" s="157">
        <v>10</v>
      </c>
      <c r="K14" s="155">
        <v>11</v>
      </c>
      <c r="L14" s="157">
        <v>12</v>
      </c>
      <c r="M14" s="155">
        <v>13</v>
      </c>
      <c r="N14" s="157">
        <v>14</v>
      </c>
      <c r="O14" s="155">
        <v>15</v>
      </c>
      <c r="P14" s="157">
        <v>16</v>
      </c>
      <c r="Q14" s="155">
        <v>17</v>
      </c>
    </row>
    <row r="15" spans="1:17" ht="15.75">
      <c r="A15" s="316" t="s">
        <v>63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</row>
    <row r="16" spans="1:17" ht="47.25">
      <c r="A16" s="158" t="s">
        <v>133</v>
      </c>
      <c r="B16" s="159" t="s">
        <v>102</v>
      </c>
      <c r="C16" s="177">
        <f>C17+C18+C19+C20+C21+C22+C23</f>
        <v>4041</v>
      </c>
      <c r="D16" s="177">
        <f>D17+D18+D19+D20+D21+D22+D23</f>
        <v>4041</v>
      </c>
      <c r="E16" s="161">
        <v>0</v>
      </c>
      <c r="F16" s="177">
        <f>F17+F18+F19+F20+F21+F22+F23</f>
        <v>4041</v>
      </c>
      <c r="G16" s="161">
        <v>0</v>
      </c>
      <c r="H16" s="177">
        <f>H17+H18+H19+H20+H21+H22+H23</f>
        <v>3669.4</v>
      </c>
      <c r="I16" s="161">
        <v>0</v>
      </c>
      <c r="J16" s="177">
        <f>J17+J18+J19+J20+J21+J22+J23</f>
        <v>3669.4</v>
      </c>
      <c r="K16" s="161">
        <v>0</v>
      </c>
      <c r="L16" s="177">
        <f>L17+L18+L19+L20+L21+L22+L23</f>
        <v>3669.4</v>
      </c>
      <c r="M16" s="161">
        <v>0</v>
      </c>
      <c r="N16" s="177">
        <f>N17+N18+N19+N20+N21+N22+N23</f>
        <v>3669.4</v>
      </c>
      <c r="O16" s="161">
        <v>0</v>
      </c>
      <c r="P16" s="162">
        <f>H16/D16*100%</f>
        <v>0.91</v>
      </c>
      <c r="Q16" s="162">
        <f>L16/D16*100%</f>
        <v>0.91</v>
      </c>
    </row>
    <row r="17" spans="1:17" ht="47.25">
      <c r="A17" s="158" t="s">
        <v>18</v>
      </c>
      <c r="B17" s="178" t="s">
        <v>103</v>
      </c>
      <c r="C17" s="179">
        <v>90</v>
      </c>
      <c r="D17" s="179">
        <v>90</v>
      </c>
      <c r="E17" s="165">
        <v>0</v>
      </c>
      <c r="F17" s="179">
        <v>90</v>
      </c>
      <c r="G17" s="165">
        <v>0</v>
      </c>
      <c r="H17" s="164">
        <v>33</v>
      </c>
      <c r="I17" s="165">
        <v>0</v>
      </c>
      <c r="J17" s="164">
        <v>33</v>
      </c>
      <c r="K17" s="165">
        <v>0</v>
      </c>
      <c r="L17" s="164">
        <v>33</v>
      </c>
      <c r="M17" s="165">
        <v>0</v>
      </c>
      <c r="N17" s="164">
        <v>33</v>
      </c>
      <c r="O17" s="165">
        <v>0</v>
      </c>
      <c r="P17" s="166">
        <f t="shared" ref="P17:P28" si="0">H17/D17*100%</f>
        <v>0.37</v>
      </c>
      <c r="Q17" s="166">
        <f t="shared" ref="Q17:Q28" si="1">L17/D17*100%</f>
        <v>0.37</v>
      </c>
    </row>
    <row r="18" spans="1:17" ht="47.25">
      <c r="A18" s="158" t="s">
        <v>390</v>
      </c>
      <c r="B18" s="180" t="s">
        <v>104</v>
      </c>
      <c r="C18" s="181">
        <v>75</v>
      </c>
      <c r="D18" s="181">
        <v>75</v>
      </c>
      <c r="E18" s="169">
        <v>0</v>
      </c>
      <c r="F18" s="181">
        <v>75</v>
      </c>
      <c r="G18" s="169">
        <v>0</v>
      </c>
      <c r="H18" s="169">
        <v>75</v>
      </c>
      <c r="I18" s="169">
        <v>0</v>
      </c>
      <c r="J18" s="169">
        <v>75</v>
      </c>
      <c r="K18" s="169">
        <v>0</v>
      </c>
      <c r="L18" s="169">
        <v>75</v>
      </c>
      <c r="M18" s="169">
        <v>0</v>
      </c>
      <c r="N18" s="169">
        <v>75</v>
      </c>
      <c r="O18" s="169">
        <v>0</v>
      </c>
      <c r="P18" s="166">
        <f t="shared" si="0"/>
        <v>1</v>
      </c>
      <c r="Q18" s="166">
        <f t="shared" si="1"/>
        <v>1</v>
      </c>
    </row>
    <row r="19" spans="1:17" ht="31.5">
      <c r="A19" s="158" t="s">
        <v>391</v>
      </c>
      <c r="B19" s="180" t="s">
        <v>105</v>
      </c>
      <c r="C19" s="182">
        <v>1600</v>
      </c>
      <c r="D19" s="182">
        <v>1600</v>
      </c>
      <c r="E19" s="169">
        <v>0</v>
      </c>
      <c r="F19" s="182">
        <v>1600</v>
      </c>
      <c r="G19" s="169">
        <v>0</v>
      </c>
      <c r="H19" s="169">
        <v>1525</v>
      </c>
      <c r="I19" s="169">
        <v>0</v>
      </c>
      <c r="J19" s="169">
        <v>1525</v>
      </c>
      <c r="K19" s="169">
        <v>0</v>
      </c>
      <c r="L19" s="169">
        <v>1525</v>
      </c>
      <c r="M19" s="169">
        <v>0</v>
      </c>
      <c r="N19" s="169">
        <v>1525</v>
      </c>
      <c r="O19" s="169">
        <v>0</v>
      </c>
      <c r="P19" s="166">
        <f t="shared" si="0"/>
        <v>0.95</v>
      </c>
      <c r="Q19" s="166">
        <f t="shared" si="1"/>
        <v>0.95</v>
      </c>
    </row>
    <row r="20" spans="1:17" ht="31.5">
      <c r="A20" s="158" t="s">
        <v>392</v>
      </c>
      <c r="B20" s="180" t="s">
        <v>106</v>
      </c>
      <c r="C20" s="179">
        <v>45</v>
      </c>
      <c r="D20" s="179">
        <v>45</v>
      </c>
      <c r="E20" s="169">
        <v>0</v>
      </c>
      <c r="F20" s="179">
        <v>45</v>
      </c>
      <c r="G20" s="169">
        <v>0</v>
      </c>
      <c r="H20" s="169">
        <v>45</v>
      </c>
      <c r="I20" s="169">
        <v>0</v>
      </c>
      <c r="J20" s="169">
        <v>45</v>
      </c>
      <c r="K20" s="169">
        <v>0</v>
      </c>
      <c r="L20" s="169">
        <v>45</v>
      </c>
      <c r="M20" s="169">
        <v>0</v>
      </c>
      <c r="N20" s="169">
        <v>45</v>
      </c>
      <c r="O20" s="169">
        <v>0</v>
      </c>
      <c r="P20" s="166">
        <f t="shared" si="0"/>
        <v>1</v>
      </c>
      <c r="Q20" s="166">
        <f t="shared" si="1"/>
        <v>1</v>
      </c>
    </row>
    <row r="21" spans="1:17" ht="63">
      <c r="A21" s="158" t="s">
        <v>393</v>
      </c>
      <c r="B21" s="180" t="s">
        <v>107</v>
      </c>
      <c r="C21" s="182">
        <v>1281</v>
      </c>
      <c r="D21" s="182">
        <v>1281</v>
      </c>
      <c r="E21" s="169">
        <v>0</v>
      </c>
      <c r="F21" s="182">
        <v>1281</v>
      </c>
      <c r="G21" s="169">
        <v>0</v>
      </c>
      <c r="H21" s="169">
        <v>1266.4000000000001</v>
      </c>
      <c r="I21" s="169">
        <v>0</v>
      </c>
      <c r="J21" s="169">
        <v>1266.4000000000001</v>
      </c>
      <c r="K21" s="169">
        <v>0</v>
      </c>
      <c r="L21" s="169">
        <v>1266.4000000000001</v>
      </c>
      <c r="M21" s="169">
        <v>0</v>
      </c>
      <c r="N21" s="169">
        <v>1266.4000000000001</v>
      </c>
      <c r="O21" s="169">
        <v>0</v>
      </c>
      <c r="P21" s="166">
        <f t="shared" si="0"/>
        <v>0.99</v>
      </c>
      <c r="Q21" s="166">
        <f t="shared" si="1"/>
        <v>0.99</v>
      </c>
    </row>
    <row r="22" spans="1:17" ht="63">
      <c r="A22" s="158" t="s">
        <v>397</v>
      </c>
      <c r="B22" s="180" t="s">
        <v>398</v>
      </c>
      <c r="C22" s="179">
        <v>675</v>
      </c>
      <c r="D22" s="179">
        <v>675</v>
      </c>
      <c r="E22" s="169">
        <v>0</v>
      </c>
      <c r="F22" s="179">
        <v>675</v>
      </c>
      <c r="G22" s="169">
        <v>0</v>
      </c>
      <c r="H22" s="169">
        <v>675</v>
      </c>
      <c r="I22" s="169">
        <v>0</v>
      </c>
      <c r="J22" s="169">
        <v>675</v>
      </c>
      <c r="K22" s="169">
        <v>0</v>
      </c>
      <c r="L22" s="169">
        <v>675</v>
      </c>
      <c r="M22" s="169">
        <v>0</v>
      </c>
      <c r="N22" s="169">
        <v>675</v>
      </c>
      <c r="O22" s="169">
        <v>0</v>
      </c>
      <c r="P22" s="166">
        <f t="shared" si="0"/>
        <v>1</v>
      </c>
      <c r="Q22" s="166">
        <f t="shared" si="1"/>
        <v>1</v>
      </c>
    </row>
    <row r="23" spans="1:17" ht="15.75">
      <c r="A23" s="158" t="s">
        <v>399</v>
      </c>
      <c r="B23" s="180" t="s">
        <v>108</v>
      </c>
      <c r="C23" s="179">
        <v>275</v>
      </c>
      <c r="D23" s="179">
        <v>275</v>
      </c>
      <c r="E23" s="169"/>
      <c r="F23" s="179">
        <v>275</v>
      </c>
      <c r="G23" s="169"/>
      <c r="H23" s="168">
        <v>50</v>
      </c>
      <c r="I23" s="169"/>
      <c r="J23" s="168">
        <v>50</v>
      </c>
      <c r="K23" s="169"/>
      <c r="L23" s="168">
        <v>50</v>
      </c>
      <c r="M23" s="169"/>
      <c r="N23" s="168">
        <v>50</v>
      </c>
      <c r="O23" s="169"/>
      <c r="P23" s="166">
        <f t="shared" si="0"/>
        <v>0.18</v>
      </c>
      <c r="Q23" s="166">
        <f t="shared" si="1"/>
        <v>0.18</v>
      </c>
    </row>
    <row r="24" spans="1:17" ht="15.75">
      <c r="A24" s="316" t="s">
        <v>400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8"/>
    </row>
    <row r="25" spans="1:17" s="175" customFormat="1" ht="32.25" thickBot="1">
      <c r="A25" s="172"/>
      <c r="B25" s="159" t="s">
        <v>401</v>
      </c>
      <c r="C25" s="256">
        <f>C26+C27</f>
        <v>34305.300000000003</v>
      </c>
      <c r="D25" s="183">
        <f>D26+D27</f>
        <v>34305.300000000003</v>
      </c>
      <c r="E25" s="174">
        <v>0</v>
      </c>
      <c r="F25" s="183">
        <f>F26+F27</f>
        <v>34305.300000000003</v>
      </c>
      <c r="G25" s="174">
        <v>0</v>
      </c>
      <c r="H25" s="183">
        <f>H26+H27</f>
        <v>34305.300000000003</v>
      </c>
      <c r="I25" s="174">
        <v>0</v>
      </c>
      <c r="J25" s="183">
        <f>J26+J27</f>
        <v>34305.300000000003</v>
      </c>
      <c r="K25" s="174">
        <v>0</v>
      </c>
      <c r="L25" s="183">
        <f>L26+L27</f>
        <v>34305.300000000003</v>
      </c>
      <c r="M25" s="174">
        <v>0</v>
      </c>
      <c r="N25" s="183">
        <f>N26+N27</f>
        <v>34305.300000000003</v>
      </c>
      <c r="O25" s="174">
        <v>0</v>
      </c>
      <c r="P25" s="162">
        <f t="shared" si="0"/>
        <v>1</v>
      </c>
      <c r="Q25" s="162">
        <f t="shared" si="1"/>
        <v>1</v>
      </c>
    </row>
    <row r="26" spans="1:17" ht="63.75" thickBot="1">
      <c r="A26" s="158"/>
      <c r="B26" s="180" t="s">
        <v>109</v>
      </c>
      <c r="C26" s="184">
        <v>30223.4</v>
      </c>
      <c r="D26" s="184">
        <v>30223.4</v>
      </c>
      <c r="E26" s="169">
        <v>0</v>
      </c>
      <c r="F26" s="184">
        <v>30223.4</v>
      </c>
      <c r="G26" s="169">
        <v>0</v>
      </c>
      <c r="H26" s="185">
        <v>30223.4</v>
      </c>
      <c r="I26" s="169">
        <v>0</v>
      </c>
      <c r="J26" s="185">
        <v>30223.4</v>
      </c>
      <c r="K26" s="169">
        <v>0</v>
      </c>
      <c r="L26" s="185">
        <v>30223.4</v>
      </c>
      <c r="M26" s="169">
        <v>0</v>
      </c>
      <c r="N26" s="185">
        <v>30223.4</v>
      </c>
      <c r="O26" s="169">
        <v>0</v>
      </c>
      <c r="P26" s="166">
        <f t="shared" si="0"/>
        <v>1</v>
      </c>
      <c r="Q26" s="166">
        <f t="shared" si="1"/>
        <v>1</v>
      </c>
    </row>
    <row r="27" spans="1:17" ht="63.75" thickBot="1">
      <c r="A27" s="158"/>
      <c r="B27" s="186" t="s">
        <v>110</v>
      </c>
      <c r="C27" s="187">
        <v>4081.9</v>
      </c>
      <c r="D27" s="187">
        <v>4081.9</v>
      </c>
      <c r="E27" s="169">
        <v>0</v>
      </c>
      <c r="F27" s="187">
        <v>4081.9</v>
      </c>
      <c r="G27" s="169">
        <v>0</v>
      </c>
      <c r="H27" s="169">
        <v>4081.9</v>
      </c>
      <c r="I27" s="169">
        <v>0</v>
      </c>
      <c r="J27" s="169">
        <v>4081.9</v>
      </c>
      <c r="K27" s="169">
        <v>0</v>
      </c>
      <c r="L27" s="169">
        <v>4081.9</v>
      </c>
      <c r="M27" s="169">
        <v>0</v>
      </c>
      <c r="N27" s="169">
        <v>4081.9</v>
      </c>
      <c r="O27" s="169">
        <v>0</v>
      </c>
      <c r="P27" s="166">
        <f t="shared" si="0"/>
        <v>1</v>
      </c>
      <c r="Q27" s="166">
        <f t="shared" si="1"/>
        <v>1</v>
      </c>
    </row>
    <row r="28" spans="1:17">
      <c r="A28" s="176"/>
      <c r="B28" s="169"/>
      <c r="C28" s="257">
        <f>C16+C25</f>
        <v>38346.300000000003</v>
      </c>
      <c r="D28" s="257">
        <f>D16+D25</f>
        <v>38346.300000000003</v>
      </c>
      <c r="E28" s="169">
        <v>0</v>
      </c>
      <c r="F28" s="257">
        <f>F16+F25</f>
        <v>38346.300000000003</v>
      </c>
      <c r="G28" s="169">
        <v>0</v>
      </c>
      <c r="H28" s="257">
        <f>H16+H25</f>
        <v>37974.699999999997</v>
      </c>
      <c r="I28" s="169">
        <v>0</v>
      </c>
      <c r="J28" s="257">
        <f>J16+J25</f>
        <v>37974.699999999997</v>
      </c>
      <c r="K28" s="169">
        <v>0</v>
      </c>
      <c r="L28" s="257">
        <f>L16+L25</f>
        <v>37974.699999999997</v>
      </c>
      <c r="M28" s="169">
        <v>0</v>
      </c>
      <c r="N28" s="257">
        <f>N16+N25</f>
        <v>37974.699999999997</v>
      </c>
      <c r="O28" s="169">
        <v>0</v>
      </c>
      <c r="P28" s="166">
        <f t="shared" si="0"/>
        <v>0.99</v>
      </c>
      <c r="Q28" s="166">
        <f t="shared" si="1"/>
        <v>0.99</v>
      </c>
    </row>
  </sheetData>
  <mergeCells count="18">
    <mergeCell ref="L12:L13"/>
    <mergeCell ref="M12:O12"/>
    <mergeCell ref="A15:Q15"/>
    <mergeCell ref="A24:Q24"/>
    <mergeCell ref="B4:P4"/>
    <mergeCell ref="E6:J6"/>
    <mergeCell ref="A9:A13"/>
    <mergeCell ref="B9:B13"/>
    <mergeCell ref="D9:Q9"/>
    <mergeCell ref="D10:G11"/>
    <mergeCell ref="H10:K10"/>
    <mergeCell ref="L10:O10"/>
    <mergeCell ref="H11:K11"/>
    <mergeCell ref="L11:O11"/>
    <mergeCell ref="D12:D13"/>
    <mergeCell ref="E12:G12"/>
    <mergeCell ref="H12:H13"/>
    <mergeCell ref="I12:K12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topLeftCell="A22" zoomScale="70" zoomScaleNormal="70" zoomScaleSheetLayoutView="70" workbookViewId="0">
      <selection activeCell="B39" sqref="B39"/>
    </sheetView>
  </sheetViews>
  <sheetFormatPr defaultRowHeight="15"/>
  <cols>
    <col min="1" max="1" width="6.140625" customWidth="1"/>
    <col min="2" max="2" width="53.7109375" customWidth="1"/>
    <col min="3" max="3" width="15.42578125" customWidth="1"/>
    <col min="4" max="4" width="10.28515625" customWidth="1"/>
    <col min="5" max="5" width="10.140625" customWidth="1"/>
    <col min="6" max="6" width="11.7109375" customWidth="1"/>
    <col min="7" max="7" width="12.28515625" customWidth="1"/>
    <col min="8" max="8" width="12.140625" customWidth="1"/>
    <col min="9" max="9" width="12.5703125" customWidth="1"/>
    <col min="10" max="10" width="14.140625" customWidth="1"/>
    <col min="11" max="11" width="11.85546875" customWidth="1"/>
    <col min="12" max="12" width="12.140625" customWidth="1"/>
    <col min="13" max="13" width="10.85546875" customWidth="1"/>
    <col min="14" max="14" width="12.42578125" customWidth="1"/>
    <col min="15" max="15" width="13" customWidth="1"/>
  </cols>
  <sheetData>
    <row r="1" spans="1:17" ht="19.5">
      <c r="H1" s="235" t="s">
        <v>374</v>
      </c>
    </row>
    <row r="2" spans="1:17" ht="16.5">
      <c r="H2" s="235" t="s">
        <v>375</v>
      </c>
    </row>
    <row r="3" spans="1:17" ht="16.5">
      <c r="H3" s="235" t="s">
        <v>376</v>
      </c>
    </row>
    <row r="4" spans="1:17" ht="16.5">
      <c r="B4" s="319" t="s">
        <v>377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7" ht="16.5">
      <c r="H5" s="235"/>
    </row>
    <row r="6" spans="1:17" ht="15" customHeight="1">
      <c r="E6" s="319" t="s">
        <v>509</v>
      </c>
      <c r="F6" s="319"/>
      <c r="G6" s="319"/>
      <c r="H6" s="319"/>
      <c r="I6" s="319"/>
      <c r="J6" s="319"/>
    </row>
    <row r="7" spans="1:17" ht="16.5">
      <c r="H7" s="235"/>
    </row>
    <row r="11" spans="1:17" ht="16.5">
      <c r="A11" s="151" t="s">
        <v>378</v>
      </c>
      <c r="E11" s="152" t="s">
        <v>379</v>
      </c>
      <c r="F11" s="152"/>
      <c r="G11" s="152"/>
      <c r="H11" s="152"/>
      <c r="I11" s="152"/>
      <c r="J11" s="152"/>
    </row>
    <row r="12" spans="1:17" ht="16.5">
      <c r="A12" s="153"/>
    </row>
    <row r="13" spans="1:17">
      <c r="A13" s="320" t="s">
        <v>33</v>
      </c>
      <c r="B13" s="321" t="s">
        <v>0</v>
      </c>
      <c r="C13" s="236" t="s">
        <v>380</v>
      </c>
      <c r="D13" s="320" t="s">
        <v>381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</row>
    <row r="14" spans="1:17" ht="89.25">
      <c r="A14" s="320"/>
      <c r="B14" s="321"/>
      <c r="C14" s="236" t="s">
        <v>382</v>
      </c>
      <c r="D14" s="320" t="s">
        <v>536</v>
      </c>
      <c r="E14" s="320"/>
      <c r="F14" s="320"/>
      <c r="G14" s="320"/>
      <c r="H14" s="321" t="s">
        <v>101</v>
      </c>
      <c r="I14" s="321"/>
      <c r="J14" s="321"/>
      <c r="K14" s="321"/>
      <c r="L14" s="321" t="s">
        <v>383</v>
      </c>
      <c r="M14" s="321"/>
      <c r="N14" s="321"/>
      <c r="O14" s="321"/>
      <c r="P14" s="236" t="s">
        <v>12</v>
      </c>
      <c r="Q14" s="236" t="s">
        <v>13</v>
      </c>
    </row>
    <row r="15" spans="1:17" ht="38.25">
      <c r="A15" s="320"/>
      <c r="B15" s="321"/>
      <c r="C15" s="236" t="s">
        <v>384</v>
      </c>
      <c r="D15" s="320"/>
      <c r="E15" s="320"/>
      <c r="F15" s="320"/>
      <c r="G15" s="320"/>
      <c r="H15" s="321" t="s">
        <v>385</v>
      </c>
      <c r="I15" s="321"/>
      <c r="J15" s="321"/>
      <c r="K15" s="321"/>
      <c r="L15" s="321" t="s">
        <v>386</v>
      </c>
      <c r="M15" s="321"/>
      <c r="N15" s="321"/>
      <c r="O15" s="321"/>
      <c r="P15" s="236" t="s">
        <v>387</v>
      </c>
      <c r="Q15" s="236" t="s">
        <v>388</v>
      </c>
    </row>
    <row r="16" spans="1:17">
      <c r="A16" s="320"/>
      <c r="B16" s="321"/>
      <c r="C16" s="236" t="s">
        <v>389</v>
      </c>
      <c r="D16" s="320" t="s">
        <v>3</v>
      </c>
      <c r="E16" s="320" t="s">
        <v>14</v>
      </c>
      <c r="F16" s="320"/>
      <c r="G16" s="320"/>
      <c r="H16" s="320" t="s">
        <v>3</v>
      </c>
      <c r="I16" s="320" t="s">
        <v>14</v>
      </c>
      <c r="J16" s="320"/>
      <c r="K16" s="320"/>
      <c r="L16" s="320" t="s">
        <v>3</v>
      </c>
      <c r="M16" s="320" t="s">
        <v>14</v>
      </c>
      <c r="N16" s="320"/>
      <c r="O16" s="320"/>
      <c r="P16" s="154"/>
      <c r="Q16" s="154"/>
    </row>
    <row r="17" spans="1:17" ht="25.5">
      <c r="A17" s="320"/>
      <c r="B17" s="321"/>
      <c r="C17" s="154"/>
      <c r="D17" s="320"/>
      <c r="E17" s="236" t="s">
        <v>4</v>
      </c>
      <c r="F17" s="236" t="s">
        <v>1</v>
      </c>
      <c r="G17" s="236" t="s">
        <v>15</v>
      </c>
      <c r="H17" s="320"/>
      <c r="I17" s="236" t="s">
        <v>4</v>
      </c>
      <c r="J17" s="236" t="s">
        <v>1</v>
      </c>
      <c r="K17" s="236" t="s">
        <v>15</v>
      </c>
      <c r="L17" s="320"/>
      <c r="M17" s="236" t="s">
        <v>4</v>
      </c>
      <c r="N17" s="236" t="s">
        <v>1</v>
      </c>
      <c r="O17" s="236" t="s">
        <v>15</v>
      </c>
      <c r="P17" s="154"/>
      <c r="Q17" s="154"/>
    </row>
    <row r="18" spans="1:17">
      <c r="A18" s="155">
        <v>1</v>
      </c>
      <c r="B18" s="156">
        <v>2</v>
      </c>
      <c r="C18" s="155">
        <v>3</v>
      </c>
      <c r="D18" s="157">
        <v>4</v>
      </c>
      <c r="E18" s="155">
        <v>5</v>
      </c>
      <c r="F18" s="157">
        <v>6</v>
      </c>
      <c r="G18" s="155">
        <v>7</v>
      </c>
      <c r="H18" s="157">
        <v>8</v>
      </c>
      <c r="I18" s="155">
        <v>9</v>
      </c>
      <c r="J18" s="157">
        <v>10</v>
      </c>
      <c r="K18" s="155">
        <v>11</v>
      </c>
      <c r="L18" s="157">
        <v>12</v>
      </c>
      <c r="M18" s="155">
        <v>13</v>
      </c>
      <c r="N18" s="157">
        <v>14</v>
      </c>
      <c r="O18" s="155">
        <v>15</v>
      </c>
      <c r="P18" s="157">
        <v>16</v>
      </c>
      <c r="Q18" s="155">
        <v>17</v>
      </c>
    </row>
    <row r="19" spans="1:17" ht="47.25">
      <c r="A19" s="158">
        <v>1</v>
      </c>
      <c r="B19" s="159" t="s">
        <v>111</v>
      </c>
      <c r="C19" s="160">
        <f>C20+C26</f>
        <v>1114.3</v>
      </c>
      <c r="D19" s="160">
        <f>D20+D26</f>
        <v>1114.3</v>
      </c>
      <c r="E19" s="161">
        <v>0</v>
      </c>
      <c r="F19" s="160">
        <f>F20+F26</f>
        <v>1114.3</v>
      </c>
      <c r="G19" s="161">
        <v>0</v>
      </c>
      <c r="H19" s="160">
        <f>H20+H26</f>
        <v>741.3</v>
      </c>
      <c r="I19" s="161">
        <v>0</v>
      </c>
      <c r="J19" s="160">
        <f>J20+J26</f>
        <v>741.3</v>
      </c>
      <c r="K19" s="161">
        <v>0</v>
      </c>
      <c r="L19" s="160">
        <f>L20+L26</f>
        <v>741.3</v>
      </c>
      <c r="M19" s="161">
        <v>0</v>
      </c>
      <c r="N19" s="160">
        <f>N20+N26</f>
        <v>741.3</v>
      </c>
      <c r="O19" s="161">
        <v>0</v>
      </c>
      <c r="P19" s="162">
        <f>H19/D19*100%</f>
        <v>0.67</v>
      </c>
      <c r="Q19" s="162">
        <f>L19/D19*100%</f>
        <v>0.67</v>
      </c>
    </row>
    <row r="20" spans="1:17" ht="31.5">
      <c r="A20" s="158" t="s">
        <v>133</v>
      </c>
      <c r="B20" s="163" t="s">
        <v>112</v>
      </c>
      <c r="C20" s="164">
        <f>C21+C22+C23+C24+C25</f>
        <v>832.6</v>
      </c>
      <c r="D20" s="164">
        <f>D21+D22+D23+D24+D25</f>
        <v>832.6</v>
      </c>
      <c r="E20" s="165">
        <v>0</v>
      </c>
      <c r="F20" s="164">
        <f>F21+F22+F23+F24+F25</f>
        <v>832.6</v>
      </c>
      <c r="G20" s="165">
        <v>0</v>
      </c>
      <c r="H20" s="164">
        <f>H21+H22+H23+H24+H25</f>
        <v>504.1</v>
      </c>
      <c r="I20" s="165">
        <v>0</v>
      </c>
      <c r="J20" s="164">
        <f>J21+J22+J23+J24+J25</f>
        <v>504.1</v>
      </c>
      <c r="K20" s="165">
        <v>0</v>
      </c>
      <c r="L20" s="164">
        <f>L21+L22+L23+L24+L25</f>
        <v>504.1</v>
      </c>
      <c r="M20" s="165">
        <v>0</v>
      </c>
      <c r="N20" s="164">
        <f>N21+N22+N23+N24+N25</f>
        <v>504.1</v>
      </c>
      <c r="O20" s="165">
        <v>0</v>
      </c>
      <c r="P20" s="166">
        <f t="shared" ref="P20:P40" si="0">H20/D20*100%</f>
        <v>0.61</v>
      </c>
      <c r="Q20" s="166">
        <f t="shared" ref="Q20:Q40" si="1">L20/D20*100%</f>
        <v>0.61</v>
      </c>
    </row>
    <row r="21" spans="1:17" ht="15.75">
      <c r="A21" s="158" t="s">
        <v>299</v>
      </c>
      <c r="B21" s="167" t="s">
        <v>113</v>
      </c>
      <c r="C21" s="168">
        <v>224.8</v>
      </c>
      <c r="D21" s="169">
        <v>224.8</v>
      </c>
      <c r="E21" s="169">
        <v>0</v>
      </c>
      <c r="F21" s="169">
        <v>224.8</v>
      </c>
      <c r="G21" s="169">
        <v>0</v>
      </c>
      <c r="H21" s="169">
        <v>59.3</v>
      </c>
      <c r="I21" s="169">
        <v>0</v>
      </c>
      <c r="J21" s="169">
        <v>59.3</v>
      </c>
      <c r="K21" s="169">
        <v>0</v>
      </c>
      <c r="L21" s="169">
        <v>59.3</v>
      </c>
      <c r="M21" s="169">
        <v>0</v>
      </c>
      <c r="N21" s="169">
        <v>59.3</v>
      </c>
      <c r="O21" s="169">
        <v>0</v>
      </c>
      <c r="P21" s="166">
        <f t="shared" si="0"/>
        <v>0.26</v>
      </c>
      <c r="Q21" s="166">
        <f t="shared" si="1"/>
        <v>0.26</v>
      </c>
    </row>
    <row r="22" spans="1:17" ht="15.75">
      <c r="A22" s="201" t="s">
        <v>390</v>
      </c>
      <c r="B22" s="202" t="s">
        <v>114</v>
      </c>
      <c r="C22" s="203">
        <v>24.8</v>
      </c>
      <c r="D22" s="204">
        <v>24.8</v>
      </c>
      <c r="E22" s="204">
        <v>0</v>
      </c>
      <c r="F22" s="204">
        <v>24.8</v>
      </c>
      <c r="G22" s="204">
        <v>0</v>
      </c>
      <c r="H22" s="204">
        <v>24.8</v>
      </c>
      <c r="I22" s="204">
        <v>0</v>
      </c>
      <c r="J22" s="204">
        <v>24.8</v>
      </c>
      <c r="K22" s="204">
        <v>0</v>
      </c>
      <c r="L22" s="204">
        <v>24.8</v>
      </c>
      <c r="M22" s="204">
        <v>0</v>
      </c>
      <c r="N22" s="204">
        <v>24.8</v>
      </c>
      <c r="O22" s="204">
        <v>0</v>
      </c>
      <c r="P22" s="205">
        <f t="shared" si="0"/>
        <v>1</v>
      </c>
      <c r="Q22" s="205">
        <f t="shared" si="1"/>
        <v>1</v>
      </c>
    </row>
    <row r="23" spans="1:17" ht="15.75">
      <c r="A23" s="158" t="s">
        <v>391</v>
      </c>
      <c r="B23" s="167" t="s">
        <v>115</v>
      </c>
      <c r="C23" s="168">
        <v>300</v>
      </c>
      <c r="D23" s="170">
        <v>300</v>
      </c>
      <c r="E23" s="169">
        <v>0</v>
      </c>
      <c r="F23" s="170">
        <v>300</v>
      </c>
      <c r="G23" s="169">
        <v>0</v>
      </c>
      <c r="H23" s="169">
        <v>300</v>
      </c>
      <c r="I23" s="169">
        <v>0</v>
      </c>
      <c r="J23" s="169">
        <v>300</v>
      </c>
      <c r="K23" s="169">
        <v>0</v>
      </c>
      <c r="L23" s="169">
        <v>300</v>
      </c>
      <c r="M23" s="169">
        <v>0</v>
      </c>
      <c r="N23" s="169">
        <v>300</v>
      </c>
      <c r="O23" s="169">
        <v>0</v>
      </c>
      <c r="P23" s="166">
        <f t="shared" si="0"/>
        <v>1</v>
      </c>
      <c r="Q23" s="166">
        <f t="shared" si="1"/>
        <v>1</v>
      </c>
    </row>
    <row r="24" spans="1:17" ht="15.75">
      <c r="A24" s="158" t="s">
        <v>392</v>
      </c>
      <c r="B24" s="167" t="s">
        <v>116</v>
      </c>
      <c r="C24" s="168">
        <v>210.5</v>
      </c>
      <c r="D24" s="169">
        <v>210.5</v>
      </c>
      <c r="E24" s="169">
        <v>0</v>
      </c>
      <c r="F24" s="169">
        <v>210.5</v>
      </c>
      <c r="G24" s="169">
        <v>0</v>
      </c>
      <c r="H24" s="169">
        <v>47.9</v>
      </c>
      <c r="I24" s="169">
        <v>0</v>
      </c>
      <c r="J24" s="169">
        <v>47.9</v>
      </c>
      <c r="K24" s="169">
        <v>0</v>
      </c>
      <c r="L24" s="169">
        <v>47.9</v>
      </c>
      <c r="M24" s="169">
        <v>0</v>
      </c>
      <c r="N24" s="169">
        <v>47.9</v>
      </c>
      <c r="O24" s="169">
        <v>0</v>
      </c>
      <c r="P24" s="166">
        <f t="shared" si="0"/>
        <v>0.23</v>
      </c>
      <c r="Q24" s="166">
        <f t="shared" si="1"/>
        <v>0.23</v>
      </c>
    </row>
    <row r="25" spans="1:17" ht="15.75">
      <c r="A25" s="158" t="s">
        <v>393</v>
      </c>
      <c r="B25" s="167" t="s">
        <v>117</v>
      </c>
      <c r="C25" s="168">
        <v>72.5</v>
      </c>
      <c r="D25" s="169">
        <v>72.5</v>
      </c>
      <c r="E25" s="169">
        <v>0</v>
      </c>
      <c r="F25" s="169">
        <v>72.5</v>
      </c>
      <c r="G25" s="169">
        <v>0</v>
      </c>
      <c r="H25" s="169">
        <v>72.099999999999994</v>
      </c>
      <c r="I25" s="169">
        <v>0</v>
      </c>
      <c r="J25" s="169">
        <v>72.099999999999994</v>
      </c>
      <c r="K25" s="169">
        <v>0</v>
      </c>
      <c r="L25" s="169">
        <v>72.099999999999994</v>
      </c>
      <c r="M25" s="169">
        <v>0</v>
      </c>
      <c r="N25" s="169">
        <v>72.099999999999994</v>
      </c>
      <c r="O25" s="169">
        <v>0</v>
      </c>
      <c r="P25" s="166">
        <f t="shared" si="0"/>
        <v>0.99</v>
      </c>
      <c r="Q25" s="166">
        <f t="shared" si="1"/>
        <v>0.99</v>
      </c>
    </row>
    <row r="26" spans="1:17" ht="31.5">
      <c r="A26" s="158" t="s">
        <v>303</v>
      </c>
      <c r="B26" s="171" t="s">
        <v>118</v>
      </c>
      <c r="C26" s="168">
        <f>C27</f>
        <v>281.7</v>
      </c>
      <c r="D26" s="168">
        <f>D27</f>
        <v>281.7</v>
      </c>
      <c r="E26" s="169">
        <v>0</v>
      </c>
      <c r="F26" s="168">
        <f>F27</f>
        <v>281.7</v>
      </c>
      <c r="G26" s="169">
        <v>0</v>
      </c>
      <c r="H26" s="168">
        <f>H27</f>
        <v>237.2</v>
      </c>
      <c r="I26" s="169">
        <v>0</v>
      </c>
      <c r="J26" s="168">
        <f>J27</f>
        <v>237.2</v>
      </c>
      <c r="K26" s="169">
        <v>0</v>
      </c>
      <c r="L26" s="168">
        <f>L27</f>
        <v>237.2</v>
      </c>
      <c r="M26" s="169">
        <v>0</v>
      </c>
      <c r="N26" s="168">
        <f>N27</f>
        <v>237.2</v>
      </c>
      <c r="O26" s="169">
        <v>0</v>
      </c>
      <c r="P26" s="166">
        <f t="shared" si="0"/>
        <v>0.84</v>
      </c>
      <c r="Q26" s="166">
        <f t="shared" si="1"/>
        <v>0.84</v>
      </c>
    </row>
    <row r="27" spans="1:17" ht="31.5">
      <c r="A27" s="201" t="s">
        <v>305</v>
      </c>
      <c r="B27" s="202" t="s">
        <v>119</v>
      </c>
      <c r="C27" s="203">
        <v>281.7</v>
      </c>
      <c r="D27" s="204">
        <v>281.7</v>
      </c>
      <c r="E27" s="204">
        <v>0</v>
      </c>
      <c r="F27" s="204">
        <v>281.7</v>
      </c>
      <c r="G27" s="204">
        <v>0</v>
      </c>
      <c r="H27" s="204">
        <v>237.2</v>
      </c>
      <c r="I27" s="204">
        <v>0</v>
      </c>
      <c r="J27" s="204">
        <v>237.2</v>
      </c>
      <c r="K27" s="204">
        <v>0</v>
      </c>
      <c r="L27" s="204">
        <v>237.2</v>
      </c>
      <c r="M27" s="204">
        <v>0</v>
      </c>
      <c r="N27" s="204">
        <v>237.2</v>
      </c>
      <c r="O27" s="204">
        <v>0</v>
      </c>
      <c r="P27" s="205">
        <f t="shared" si="0"/>
        <v>0.84</v>
      </c>
      <c r="Q27" s="205">
        <f t="shared" si="1"/>
        <v>0.84</v>
      </c>
    </row>
    <row r="28" spans="1:17" s="175" customFormat="1" ht="31.5">
      <c r="A28" s="172">
        <v>2</v>
      </c>
      <c r="B28" s="159" t="s">
        <v>120</v>
      </c>
      <c r="C28" s="173">
        <f>C29+C32</f>
        <v>429.4</v>
      </c>
      <c r="D28" s="173">
        <f>D29+D32</f>
        <v>429.4</v>
      </c>
      <c r="E28" s="174">
        <v>0</v>
      </c>
      <c r="F28" s="173">
        <f>F29+F32</f>
        <v>429.4</v>
      </c>
      <c r="G28" s="174">
        <v>0</v>
      </c>
      <c r="H28" s="173">
        <f>H29+H32</f>
        <v>379.8</v>
      </c>
      <c r="I28" s="174">
        <v>0</v>
      </c>
      <c r="J28" s="173">
        <f>J29+J32</f>
        <v>379.8</v>
      </c>
      <c r="K28" s="174">
        <v>0</v>
      </c>
      <c r="L28" s="173">
        <f>L29+L32</f>
        <v>379.8</v>
      </c>
      <c r="M28" s="174">
        <v>0</v>
      </c>
      <c r="N28" s="173">
        <f>N29+N32</f>
        <v>379.8</v>
      </c>
      <c r="O28" s="174">
        <v>0</v>
      </c>
      <c r="P28" s="162">
        <f t="shared" si="0"/>
        <v>0.88</v>
      </c>
      <c r="Q28" s="162">
        <f t="shared" si="1"/>
        <v>0.88</v>
      </c>
    </row>
    <row r="29" spans="1:17" ht="31.5">
      <c r="A29" s="158" t="s">
        <v>324</v>
      </c>
      <c r="B29" s="171" t="s">
        <v>121</v>
      </c>
      <c r="C29" s="168">
        <f>C30+C31</f>
        <v>379.4</v>
      </c>
      <c r="D29" s="168">
        <f>D30+D31</f>
        <v>379.4</v>
      </c>
      <c r="E29" s="169">
        <v>0</v>
      </c>
      <c r="F29" s="168">
        <f>F30+F31</f>
        <v>379.4</v>
      </c>
      <c r="G29" s="169">
        <v>0</v>
      </c>
      <c r="H29" s="168">
        <f>H30+H31</f>
        <v>329.9</v>
      </c>
      <c r="I29" s="169">
        <v>0</v>
      </c>
      <c r="J29" s="168">
        <f>J30+J31</f>
        <v>329.9</v>
      </c>
      <c r="K29" s="169">
        <v>0</v>
      </c>
      <c r="L29" s="168">
        <f>L30+L31</f>
        <v>329.9</v>
      </c>
      <c r="M29" s="169">
        <v>0</v>
      </c>
      <c r="N29" s="168">
        <f>N30+N31</f>
        <v>329.9</v>
      </c>
      <c r="O29" s="169">
        <v>0</v>
      </c>
      <c r="P29" s="166">
        <f t="shared" si="0"/>
        <v>0.87</v>
      </c>
      <c r="Q29" s="166">
        <f t="shared" si="1"/>
        <v>0.87</v>
      </c>
    </row>
    <row r="30" spans="1:17" ht="31.5">
      <c r="A30" s="158" t="s">
        <v>326</v>
      </c>
      <c r="B30" s="167" t="s">
        <v>122</v>
      </c>
      <c r="C30" s="168">
        <v>183</v>
      </c>
      <c r="D30" s="169">
        <v>183</v>
      </c>
      <c r="E30" s="169">
        <v>0</v>
      </c>
      <c r="F30" s="169">
        <v>183</v>
      </c>
      <c r="G30" s="169">
        <v>0</v>
      </c>
      <c r="H30" s="169">
        <v>183</v>
      </c>
      <c r="I30" s="169">
        <v>0</v>
      </c>
      <c r="J30" s="169">
        <v>183</v>
      </c>
      <c r="K30" s="169">
        <v>0</v>
      </c>
      <c r="L30" s="169">
        <v>183</v>
      </c>
      <c r="M30" s="169">
        <v>0</v>
      </c>
      <c r="N30" s="169">
        <v>183</v>
      </c>
      <c r="O30" s="169">
        <v>0</v>
      </c>
      <c r="P30" s="166">
        <f t="shared" si="0"/>
        <v>1</v>
      </c>
      <c r="Q30" s="166">
        <f t="shared" si="1"/>
        <v>1</v>
      </c>
    </row>
    <row r="31" spans="1:17" ht="47.25">
      <c r="A31" s="158" t="s">
        <v>331</v>
      </c>
      <c r="B31" s="167" t="s">
        <v>123</v>
      </c>
      <c r="C31" s="168">
        <v>196.4</v>
      </c>
      <c r="D31" s="169">
        <v>196.4</v>
      </c>
      <c r="E31" s="169">
        <v>0</v>
      </c>
      <c r="F31" s="169">
        <v>196.4</v>
      </c>
      <c r="G31" s="169">
        <v>0</v>
      </c>
      <c r="H31" s="169">
        <v>146.9</v>
      </c>
      <c r="I31" s="169">
        <v>0</v>
      </c>
      <c r="J31" s="169">
        <v>146.9</v>
      </c>
      <c r="K31" s="169">
        <v>0</v>
      </c>
      <c r="L31" s="169">
        <v>146.9</v>
      </c>
      <c r="M31" s="169">
        <v>0</v>
      </c>
      <c r="N31" s="169">
        <v>146.9</v>
      </c>
      <c r="O31" s="169">
        <v>0</v>
      </c>
      <c r="P31" s="166">
        <f t="shared" si="0"/>
        <v>0.75</v>
      </c>
      <c r="Q31" s="166">
        <f t="shared" si="1"/>
        <v>0.75</v>
      </c>
    </row>
    <row r="32" spans="1:17" ht="47.25">
      <c r="A32" s="158" t="s">
        <v>334</v>
      </c>
      <c r="B32" s="171" t="s">
        <v>124</v>
      </c>
      <c r="C32" s="168">
        <f>C33</f>
        <v>50</v>
      </c>
      <c r="D32" s="168">
        <f>D33</f>
        <v>50</v>
      </c>
      <c r="E32" s="169">
        <v>0</v>
      </c>
      <c r="F32" s="168">
        <f>F33</f>
        <v>50</v>
      </c>
      <c r="G32" s="169">
        <v>0</v>
      </c>
      <c r="H32" s="168">
        <f>H33</f>
        <v>49.9</v>
      </c>
      <c r="I32" s="169">
        <v>0</v>
      </c>
      <c r="J32" s="168">
        <f>J33</f>
        <v>49.9</v>
      </c>
      <c r="K32" s="169">
        <v>0</v>
      </c>
      <c r="L32" s="168">
        <f>L33</f>
        <v>49.9</v>
      </c>
      <c r="M32" s="169">
        <v>0</v>
      </c>
      <c r="N32" s="168">
        <f>N33</f>
        <v>49.9</v>
      </c>
      <c r="O32" s="169">
        <v>0</v>
      </c>
      <c r="P32" s="166">
        <f t="shared" si="0"/>
        <v>1</v>
      </c>
      <c r="Q32" s="166">
        <f t="shared" si="1"/>
        <v>1</v>
      </c>
    </row>
    <row r="33" spans="1:17" ht="15.75">
      <c r="A33" s="201" t="s">
        <v>336</v>
      </c>
      <c r="B33" s="202" t="s">
        <v>125</v>
      </c>
      <c r="C33" s="203">
        <v>50</v>
      </c>
      <c r="D33" s="204">
        <v>50</v>
      </c>
      <c r="E33" s="204"/>
      <c r="F33" s="204">
        <v>50</v>
      </c>
      <c r="G33" s="204"/>
      <c r="H33" s="204">
        <v>49.9</v>
      </c>
      <c r="I33" s="204"/>
      <c r="J33" s="204">
        <v>49.9</v>
      </c>
      <c r="K33" s="204"/>
      <c r="L33" s="204">
        <v>49.9</v>
      </c>
      <c r="M33" s="204"/>
      <c r="N33" s="204">
        <v>49.9</v>
      </c>
      <c r="O33" s="204"/>
      <c r="P33" s="205">
        <f t="shared" si="0"/>
        <v>1</v>
      </c>
      <c r="Q33" s="205">
        <f t="shared" si="1"/>
        <v>1</v>
      </c>
    </row>
    <row r="34" spans="1:17" s="175" customFormat="1" ht="47.25">
      <c r="A34" s="172" t="s">
        <v>394</v>
      </c>
      <c r="B34" s="159" t="s">
        <v>126</v>
      </c>
      <c r="C34" s="173">
        <f>C35+C37</f>
        <v>448.3</v>
      </c>
      <c r="D34" s="173">
        <f>D35+D37</f>
        <v>448.3</v>
      </c>
      <c r="E34" s="174">
        <v>0</v>
      </c>
      <c r="F34" s="173">
        <f>F35+F37</f>
        <v>448.3</v>
      </c>
      <c r="G34" s="174">
        <v>0</v>
      </c>
      <c r="H34" s="173">
        <f>H35+H37</f>
        <v>250.7</v>
      </c>
      <c r="I34" s="174">
        <v>0</v>
      </c>
      <c r="J34" s="173">
        <f>J35+J37</f>
        <v>250.7</v>
      </c>
      <c r="K34" s="174">
        <v>0</v>
      </c>
      <c r="L34" s="173">
        <f>L35+L37</f>
        <v>250.7</v>
      </c>
      <c r="M34" s="174">
        <v>0</v>
      </c>
      <c r="N34" s="173">
        <f>N35+N37</f>
        <v>250.7</v>
      </c>
      <c r="O34" s="174">
        <v>0</v>
      </c>
      <c r="P34" s="162">
        <f t="shared" si="0"/>
        <v>0.56000000000000005</v>
      </c>
      <c r="Q34" s="162">
        <f t="shared" si="1"/>
        <v>0.56000000000000005</v>
      </c>
    </row>
    <row r="35" spans="1:17" ht="31.5">
      <c r="A35" s="158" t="s">
        <v>345</v>
      </c>
      <c r="B35" s="171" t="s">
        <v>127</v>
      </c>
      <c r="C35" s="168">
        <f>C36</f>
        <v>214</v>
      </c>
      <c r="D35" s="168">
        <f>D36</f>
        <v>214</v>
      </c>
      <c r="E35" s="169">
        <v>0</v>
      </c>
      <c r="F35" s="168">
        <f>F36</f>
        <v>214</v>
      </c>
      <c r="G35" s="169">
        <v>0</v>
      </c>
      <c r="H35" s="168">
        <f>H36</f>
        <v>107.4</v>
      </c>
      <c r="I35" s="169">
        <v>0</v>
      </c>
      <c r="J35" s="168">
        <f>J36</f>
        <v>107.4</v>
      </c>
      <c r="K35" s="169">
        <v>0</v>
      </c>
      <c r="L35" s="168">
        <f>L36</f>
        <v>107.4</v>
      </c>
      <c r="M35" s="169">
        <v>0</v>
      </c>
      <c r="N35" s="168">
        <f>N36</f>
        <v>107.4</v>
      </c>
      <c r="O35" s="169">
        <v>0</v>
      </c>
      <c r="P35" s="166">
        <f t="shared" si="0"/>
        <v>0.5</v>
      </c>
      <c r="Q35" s="166">
        <f t="shared" si="1"/>
        <v>0.5</v>
      </c>
    </row>
    <row r="36" spans="1:17" ht="47.25">
      <c r="A36" s="158" t="s">
        <v>347</v>
      </c>
      <c r="B36" s="167" t="s">
        <v>128</v>
      </c>
      <c r="C36" s="168">
        <v>214</v>
      </c>
      <c r="D36" s="169">
        <v>214</v>
      </c>
      <c r="E36" s="169">
        <v>0</v>
      </c>
      <c r="F36" s="169">
        <v>214</v>
      </c>
      <c r="G36" s="169">
        <v>0</v>
      </c>
      <c r="H36" s="254">
        <v>107.4</v>
      </c>
      <c r="I36" s="169">
        <v>0</v>
      </c>
      <c r="J36" s="169">
        <v>107.4</v>
      </c>
      <c r="K36" s="169">
        <v>0</v>
      </c>
      <c r="L36" s="254">
        <v>107.4</v>
      </c>
      <c r="M36" s="169">
        <v>0</v>
      </c>
      <c r="N36" s="169">
        <v>107.4</v>
      </c>
      <c r="O36" s="169">
        <v>0</v>
      </c>
      <c r="P36" s="166">
        <f t="shared" si="0"/>
        <v>0.5</v>
      </c>
      <c r="Q36" s="166">
        <f t="shared" si="1"/>
        <v>0.5</v>
      </c>
    </row>
    <row r="37" spans="1:17" ht="31.5">
      <c r="A37" s="158" t="s">
        <v>349</v>
      </c>
      <c r="B37" s="171" t="s">
        <v>129</v>
      </c>
      <c r="C37" s="168">
        <f>C38+C39</f>
        <v>234.3</v>
      </c>
      <c r="D37" s="168">
        <f>D38+D39</f>
        <v>234.3</v>
      </c>
      <c r="E37" s="169">
        <v>0</v>
      </c>
      <c r="F37" s="168">
        <f>F38+F39</f>
        <v>234.3</v>
      </c>
      <c r="G37" s="169">
        <v>0</v>
      </c>
      <c r="H37" s="168">
        <f>H38+H39</f>
        <v>143.30000000000001</v>
      </c>
      <c r="I37" s="169">
        <v>0</v>
      </c>
      <c r="J37" s="168">
        <f>J38+J39</f>
        <v>143.30000000000001</v>
      </c>
      <c r="K37" s="169">
        <v>0</v>
      </c>
      <c r="L37" s="168">
        <f>L38+L39</f>
        <v>143.30000000000001</v>
      </c>
      <c r="M37" s="169">
        <v>0</v>
      </c>
      <c r="N37" s="168">
        <f>N38+N39</f>
        <v>143.30000000000001</v>
      </c>
      <c r="O37" s="169">
        <v>0</v>
      </c>
      <c r="P37" s="166">
        <f t="shared" si="0"/>
        <v>0.61</v>
      </c>
      <c r="Q37" s="166">
        <f t="shared" si="1"/>
        <v>0.61</v>
      </c>
    </row>
    <row r="38" spans="1:17" ht="15.75">
      <c r="A38" s="201" t="s">
        <v>351</v>
      </c>
      <c r="B38" s="202" t="s">
        <v>130</v>
      </c>
      <c r="C38" s="203">
        <v>143.30000000000001</v>
      </c>
      <c r="D38" s="204">
        <v>143.30000000000001</v>
      </c>
      <c r="E38" s="204">
        <v>0</v>
      </c>
      <c r="F38" s="204">
        <v>143.30000000000001</v>
      </c>
      <c r="G38" s="204">
        <v>0</v>
      </c>
      <c r="H38" s="204">
        <v>143.30000000000001</v>
      </c>
      <c r="I38" s="204">
        <v>0</v>
      </c>
      <c r="J38" s="204">
        <v>143.30000000000001</v>
      </c>
      <c r="K38" s="204">
        <v>0</v>
      </c>
      <c r="L38" s="204">
        <v>143.30000000000001</v>
      </c>
      <c r="M38" s="204">
        <v>0</v>
      </c>
      <c r="N38" s="204">
        <v>143.30000000000001</v>
      </c>
      <c r="O38" s="204">
        <v>0</v>
      </c>
      <c r="P38" s="205">
        <f t="shared" si="0"/>
        <v>1</v>
      </c>
      <c r="Q38" s="205">
        <f t="shared" si="1"/>
        <v>1</v>
      </c>
    </row>
    <row r="39" spans="1:17" ht="47.25">
      <c r="A39" s="158" t="s">
        <v>395</v>
      </c>
      <c r="B39" s="167" t="s">
        <v>131</v>
      </c>
      <c r="C39" s="168">
        <v>91</v>
      </c>
      <c r="D39" s="169">
        <v>91</v>
      </c>
      <c r="E39" s="169">
        <v>0</v>
      </c>
      <c r="F39" s="169">
        <v>91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6">
        <f t="shared" si="0"/>
        <v>0</v>
      </c>
      <c r="Q39" s="166">
        <f t="shared" si="1"/>
        <v>0</v>
      </c>
    </row>
    <row r="40" spans="1:17">
      <c r="A40" s="176"/>
      <c r="B40" s="169"/>
      <c r="C40" s="168">
        <f>C34+C28+C19</f>
        <v>1992</v>
      </c>
      <c r="D40" s="168">
        <f>D34+D28+D19</f>
        <v>1992</v>
      </c>
      <c r="E40" s="169">
        <v>0</v>
      </c>
      <c r="F40" s="168">
        <f>F34+F28+F19</f>
        <v>1992</v>
      </c>
      <c r="G40" s="169">
        <v>0</v>
      </c>
      <c r="H40" s="168">
        <f>H34+H28+H19</f>
        <v>1371.8</v>
      </c>
      <c r="I40" s="169">
        <v>0</v>
      </c>
      <c r="J40" s="168">
        <f>J34+J28+J19</f>
        <v>1371.8</v>
      </c>
      <c r="K40" s="169">
        <v>0</v>
      </c>
      <c r="L40" s="168">
        <f>L34+L28+L19</f>
        <v>1371.8</v>
      </c>
      <c r="M40" s="169">
        <v>0</v>
      </c>
      <c r="N40" s="168">
        <f>N34+N28+N19</f>
        <v>1371.8</v>
      </c>
      <c r="O40" s="169">
        <v>0</v>
      </c>
      <c r="P40" s="166">
        <f t="shared" si="0"/>
        <v>0.69</v>
      </c>
      <c r="Q40" s="166">
        <f t="shared" si="1"/>
        <v>0.69</v>
      </c>
    </row>
  </sheetData>
  <mergeCells count="16">
    <mergeCell ref="B4:P4"/>
    <mergeCell ref="E6:J6"/>
    <mergeCell ref="A13:A17"/>
    <mergeCell ref="B13:B17"/>
    <mergeCell ref="D13:Q13"/>
    <mergeCell ref="D14:G15"/>
    <mergeCell ref="H14:K14"/>
    <mergeCell ref="L14:O14"/>
    <mergeCell ref="H15:K15"/>
    <mergeCell ref="L15:O15"/>
    <mergeCell ref="D16:D17"/>
    <mergeCell ref="E16:G16"/>
    <mergeCell ref="H16:H17"/>
    <mergeCell ref="I16:K16"/>
    <mergeCell ref="L16:L17"/>
    <mergeCell ref="M16:O1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view="pageBreakPreview" topLeftCell="A30" zoomScale="60" zoomScaleNormal="90" workbookViewId="0">
      <selection activeCell="A10" sqref="A10:Q10"/>
    </sheetView>
  </sheetViews>
  <sheetFormatPr defaultRowHeight="15"/>
  <cols>
    <col min="1" max="1" width="6.7109375" style="42" customWidth="1"/>
    <col min="2" max="2" width="32.85546875" style="42" customWidth="1"/>
    <col min="3" max="3" width="12.42578125" style="42" customWidth="1"/>
    <col min="4" max="4" width="13.42578125" style="42" customWidth="1"/>
    <col min="5" max="6" width="12.85546875" style="42" customWidth="1"/>
    <col min="7" max="7" width="8.7109375" style="42" customWidth="1"/>
    <col min="8" max="8" width="13.140625" style="43" customWidth="1"/>
    <col min="9" max="9" width="11.28515625" style="43" customWidth="1"/>
    <col min="10" max="10" width="13.42578125" style="42" customWidth="1"/>
    <col min="11" max="11" width="8.28515625" style="42" customWidth="1"/>
    <col min="12" max="13" width="11.42578125" style="85" customWidth="1"/>
    <col min="14" max="14" width="13.5703125" style="42" customWidth="1"/>
    <col min="15" max="15" width="8" style="42" customWidth="1"/>
    <col min="16" max="16" width="11.42578125" style="42" customWidth="1"/>
    <col min="17" max="17" width="11.7109375" style="42" customWidth="1"/>
    <col min="18" max="18" width="13.42578125" style="42" customWidth="1"/>
    <col min="19" max="19" width="10.7109375" style="42" customWidth="1"/>
    <col min="20" max="20" width="11.42578125" style="42" customWidth="1"/>
    <col min="21" max="21" width="13" style="42" customWidth="1"/>
    <col min="22" max="22" width="17.85546875" style="42" customWidth="1"/>
    <col min="23" max="256" width="8.85546875" style="42"/>
    <col min="257" max="257" width="6.7109375" style="42" customWidth="1"/>
    <col min="258" max="258" width="32.85546875" style="42" customWidth="1"/>
    <col min="259" max="259" width="12.42578125" style="42" customWidth="1"/>
    <col min="260" max="260" width="13.42578125" style="42" customWidth="1"/>
    <col min="261" max="262" width="12.85546875" style="42" customWidth="1"/>
    <col min="263" max="263" width="8.7109375" style="42" customWidth="1"/>
    <col min="264" max="264" width="13.140625" style="42" customWidth="1"/>
    <col min="265" max="265" width="11.28515625" style="42" customWidth="1"/>
    <col min="266" max="266" width="13.42578125" style="42" customWidth="1"/>
    <col min="267" max="267" width="8.28515625" style="42" customWidth="1"/>
    <col min="268" max="269" width="11.42578125" style="42" customWidth="1"/>
    <col min="270" max="270" width="13.5703125" style="42" customWidth="1"/>
    <col min="271" max="271" width="8" style="42" customWidth="1"/>
    <col min="272" max="272" width="11.42578125" style="42" customWidth="1"/>
    <col min="273" max="273" width="11.7109375" style="42" customWidth="1"/>
    <col min="274" max="274" width="13.42578125" style="42" customWidth="1"/>
    <col min="275" max="275" width="10.7109375" style="42" customWidth="1"/>
    <col min="276" max="276" width="11.42578125" style="42" customWidth="1"/>
    <col min="277" max="277" width="13" style="42" customWidth="1"/>
    <col min="278" max="278" width="17.85546875" style="42" customWidth="1"/>
    <col min="279" max="512" width="8.85546875" style="42"/>
    <col min="513" max="513" width="6.7109375" style="42" customWidth="1"/>
    <col min="514" max="514" width="32.85546875" style="42" customWidth="1"/>
    <col min="515" max="515" width="12.42578125" style="42" customWidth="1"/>
    <col min="516" max="516" width="13.42578125" style="42" customWidth="1"/>
    <col min="517" max="518" width="12.85546875" style="42" customWidth="1"/>
    <col min="519" max="519" width="8.7109375" style="42" customWidth="1"/>
    <col min="520" max="520" width="13.140625" style="42" customWidth="1"/>
    <col min="521" max="521" width="11.28515625" style="42" customWidth="1"/>
    <col min="522" max="522" width="13.42578125" style="42" customWidth="1"/>
    <col min="523" max="523" width="8.28515625" style="42" customWidth="1"/>
    <col min="524" max="525" width="11.42578125" style="42" customWidth="1"/>
    <col min="526" max="526" width="13.5703125" style="42" customWidth="1"/>
    <col min="527" max="527" width="8" style="42" customWidth="1"/>
    <col min="528" max="528" width="11.42578125" style="42" customWidth="1"/>
    <col min="529" max="529" width="11.7109375" style="42" customWidth="1"/>
    <col min="530" max="530" width="13.42578125" style="42" customWidth="1"/>
    <col min="531" max="531" width="10.7109375" style="42" customWidth="1"/>
    <col min="532" max="532" width="11.42578125" style="42" customWidth="1"/>
    <col min="533" max="533" width="13" style="42" customWidth="1"/>
    <col min="534" max="534" width="17.85546875" style="42" customWidth="1"/>
    <col min="535" max="768" width="8.85546875" style="42"/>
    <col min="769" max="769" width="6.7109375" style="42" customWidth="1"/>
    <col min="770" max="770" width="32.85546875" style="42" customWidth="1"/>
    <col min="771" max="771" width="12.42578125" style="42" customWidth="1"/>
    <col min="772" max="772" width="13.42578125" style="42" customWidth="1"/>
    <col min="773" max="774" width="12.85546875" style="42" customWidth="1"/>
    <col min="775" max="775" width="8.7109375" style="42" customWidth="1"/>
    <col min="776" max="776" width="13.140625" style="42" customWidth="1"/>
    <col min="777" max="777" width="11.28515625" style="42" customWidth="1"/>
    <col min="778" max="778" width="13.42578125" style="42" customWidth="1"/>
    <col min="779" max="779" width="8.28515625" style="42" customWidth="1"/>
    <col min="780" max="781" width="11.42578125" style="42" customWidth="1"/>
    <col min="782" max="782" width="13.5703125" style="42" customWidth="1"/>
    <col min="783" max="783" width="8" style="42" customWidth="1"/>
    <col min="784" max="784" width="11.42578125" style="42" customWidth="1"/>
    <col min="785" max="785" width="11.7109375" style="42" customWidth="1"/>
    <col min="786" max="786" width="13.42578125" style="42" customWidth="1"/>
    <col min="787" max="787" width="10.7109375" style="42" customWidth="1"/>
    <col min="788" max="788" width="11.42578125" style="42" customWidth="1"/>
    <col min="789" max="789" width="13" style="42" customWidth="1"/>
    <col min="790" max="790" width="17.85546875" style="42" customWidth="1"/>
    <col min="791" max="1024" width="8.85546875" style="42"/>
    <col min="1025" max="1025" width="6.7109375" style="42" customWidth="1"/>
    <col min="1026" max="1026" width="32.85546875" style="42" customWidth="1"/>
    <col min="1027" max="1027" width="12.42578125" style="42" customWidth="1"/>
    <col min="1028" max="1028" width="13.42578125" style="42" customWidth="1"/>
    <col min="1029" max="1030" width="12.85546875" style="42" customWidth="1"/>
    <col min="1031" max="1031" width="8.7109375" style="42" customWidth="1"/>
    <col min="1032" max="1032" width="13.140625" style="42" customWidth="1"/>
    <col min="1033" max="1033" width="11.28515625" style="42" customWidth="1"/>
    <col min="1034" max="1034" width="13.42578125" style="42" customWidth="1"/>
    <col min="1035" max="1035" width="8.28515625" style="42" customWidth="1"/>
    <col min="1036" max="1037" width="11.42578125" style="42" customWidth="1"/>
    <col min="1038" max="1038" width="13.5703125" style="42" customWidth="1"/>
    <col min="1039" max="1039" width="8" style="42" customWidth="1"/>
    <col min="1040" max="1040" width="11.42578125" style="42" customWidth="1"/>
    <col min="1041" max="1041" width="11.7109375" style="42" customWidth="1"/>
    <col min="1042" max="1042" width="13.42578125" style="42" customWidth="1"/>
    <col min="1043" max="1043" width="10.7109375" style="42" customWidth="1"/>
    <col min="1044" max="1044" width="11.42578125" style="42" customWidth="1"/>
    <col min="1045" max="1045" width="13" style="42" customWidth="1"/>
    <col min="1046" max="1046" width="17.85546875" style="42" customWidth="1"/>
    <col min="1047" max="1280" width="8.85546875" style="42"/>
    <col min="1281" max="1281" width="6.7109375" style="42" customWidth="1"/>
    <col min="1282" max="1282" width="32.85546875" style="42" customWidth="1"/>
    <col min="1283" max="1283" width="12.42578125" style="42" customWidth="1"/>
    <col min="1284" max="1284" width="13.42578125" style="42" customWidth="1"/>
    <col min="1285" max="1286" width="12.85546875" style="42" customWidth="1"/>
    <col min="1287" max="1287" width="8.7109375" style="42" customWidth="1"/>
    <col min="1288" max="1288" width="13.140625" style="42" customWidth="1"/>
    <col min="1289" max="1289" width="11.28515625" style="42" customWidth="1"/>
    <col min="1290" max="1290" width="13.42578125" style="42" customWidth="1"/>
    <col min="1291" max="1291" width="8.28515625" style="42" customWidth="1"/>
    <col min="1292" max="1293" width="11.42578125" style="42" customWidth="1"/>
    <col min="1294" max="1294" width="13.5703125" style="42" customWidth="1"/>
    <col min="1295" max="1295" width="8" style="42" customWidth="1"/>
    <col min="1296" max="1296" width="11.42578125" style="42" customWidth="1"/>
    <col min="1297" max="1297" width="11.7109375" style="42" customWidth="1"/>
    <col min="1298" max="1298" width="13.42578125" style="42" customWidth="1"/>
    <col min="1299" max="1299" width="10.7109375" style="42" customWidth="1"/>
    <col min="1300" max="1300" width="11.42578125" style="42" customWidth="1"/>
    <col min="1301" max="1301" width="13" style="42" customWidth="1"/>
    <col min="1302" max="1302" width="17.85546875" style="42" customWidth="1"/>
    <col min="1303" max="1536" width="8.85546875" style="42"/>
    <col min="1537" max="1537" width="6.7109375" style="42" customWidth="1"/>
    <col min="1538" max="1538" width="32.85546875" style="42" customWidth="1"/>
    <col min="1539" max="1539" width="12.42578125" style="42" customWidth="1"/>
    <col min="1540" max="1540" width="13.42578125" style="42" customWidth="1"/>
    <col min="1541" max="1542" width="12.85546875" style="42" customWidth="1"/>
    <col min="1543" max="1543" width="8.7109375" style="42" customWidth="1"/>
    <col min="1544" max="1544" width="13.140625" style="42" customWidth="1"/>
    <col min="1545" max="1545" width="11.28515625" style="42" customWidth="1"/>
    <col min="1546" max="1546" width="13.42578125" style="42" customWidth="1"/>
    <col min="1547" max="1547" width="8.28515625" style="42" customWidth="1"/>
    <col min="1548" max="1549" width="11.42578125" style="42" customWidth="1"/>
    <col min="1550" max="1550" width="13.5703125" style="42" customWidth="1"/>
    <col min="1551" max="1551" width="8" style="42" customWidth="1"/>
    <col min="1552" max="1552" width="11.42578125" style="42" customWidth="1"/>
    <col min="1553" max="1553" width="11.7109375" style="42" customWidth="1"/>
    <col min="1554" max="1554" width="13.42578125" style="42" customWidth="1"/>
    <col min="1555" max="1555" width="10.7109375" style="42" customWidth="1"/>
    <col min="1556" max="1556" width="11.42578125" style="42" customWidth="1"/>
    <col min="1557" max="1557" width="13" style="42" customWidth="1"/>
    <col min="1558" max="1558" width="17.85546875" style="42" customWidth="1"/>
    <col min="1559" max="1792" width="8.85546875" style="42"/>
    <col min="1793" max="1793" width="6.7109375" style="42" customWidth="1"/>
    <col min="1794" max="1794" width="32.85546875" style="42" customWidth="1"/>
    <col min="1795" max="1795" width="12.42578125" style="42" customWidth="1"/>
    <col min="1796" max="1796" width="13.42578125" style="42" customWidth="1"/>
    <col min="1797" max="1798" width="12.85546875" style="42" customWidth="1"/>
    <col min="1799" max="1799" width="8.7109375" style="42" customWidth="1"/>
    <col min="1800" max="1800" width="13.140625" style="42" customWidth="1"/>
    <col min="1801" max="1801" width="11.28515625" style="42" customWidth="1"/>
    <col min="1802" max="1802" width="13.42578125" style="42" customWidth="1"/>
    <col min="1803" max="1803" width="8.28515625" style="42" customWidth="1"/>
    <col min="1804" max="1805" width="11.42578125" style="42" customWidth="1"/>
    <col min="1806" max="1806" width="13.5703125" style="42" customWidth="1"/>
    <col min="1807" max="1807" width="8" style="42" customWidth="1"/>
    <col min="1808" max="1808" width="11.42578125" style="42" customWidth="1"/>
    <col min="1809" max="1809" width="11.7109375" style="42" customWidth="1"/>
    <col min="1810" max="1810" width="13.42578125" style="42" customWidth="1"/>
    <col min="1811" max="1811" width="10.7109375" style="42" customWidth="1"/>
    <col min="1812" max="1812" width="11.42578125" style="42" customWidth="1"/>
    <col min="1813" max="1813" width="13" style="42" customWidth="1"/>
    <col min="1814" max="1814" width="17.85546875" style="42" customWidth="1"/>
    <col min="1815" max="2048" width="8.85546875" style="42"/>
    <col min="2049" max="2049" width="6.7109375" style="42" customWidth="1"/>
    <col min="2050" max="2050" width="32.85546875" style="42" customWidth="1"/>
    <col min="2051" max="2051" width="12.42578125" style="42" customWidth="1"/>
    <col min="2052" max="2052" width="13.42578125" style="42" customWidth="1"/>
    <col min="2053" max="2054" width="12.85546875" style="42" customWidth="1"/>
    <col min="2055" max="2055" width="8.7109375" style="42" customWidth="1"/>
    <col min="2056" max="2056" width="13.140625" style="42" customWidth="1"/>
    <col min="2057" max="2057" width="11.28515625" style="42" customWidth="1"/>
    <col min="2058" max="2058" width="13.42578125" style="42" customWidth="1"/>
    <col min="2059" max="2059" width="8.28515625" style="42" customWidth="1"/>
    <col min="2060" max="2061" width="11.42578125" style="42" customWidth="1"/>
    <col min="2062" max="2062" width="13.5703125" style="42" customWidth="1"/>
    <col min="2063" max="2063" width="8" style="42" customWidth="1"/>
    <col min="2064" max="2064" width="11.42578125" style="42" customWidth="1"/>
    <col min="2065" max="2065" width="11.7109375" style="42" customWidth="1"/>
    <col min="2066" max="2066" width="13.42578125" style="42" customWidth="1"/>
    <col min="2067" max="2067" width="10.7109375" style="42" customWidth="1"/>
    <col min="2068" max="2068" width="11.42578125" style="42" customWidth="1"/>
    <col min="2069" max="2069" width="13" style="42" customWidth="1"/>
    <col min="2070" max="2070" width="17.85546875" style="42" customWidth="1"/>
    <col min="2071" max="2304" width="8.85546875" style="42"/>
    <col min="2305" max="2305" width="6.7109375" style="42" customWidth="1"/>
    <col min="2306" max="2306" width="32.85546875" style="42" customWidth="1"/>
    <col min="2307" max="2307" width="12.42578125" style="42" customWidth="1"/>
    <col min="2308" max="2308" width="13.42578125" style="42" customWidth="1"/>
    <col min="2309" max="2310" width="12.85546875" style="42" customWidth="1"/>
    <col min="2311" max="2311" width="8.7109375" style="42" customWidth="1"/>
    <col min="2312" max="2312" width="13.140625" style="42" customWidth="1"/>
    <col min="2313" max="2313" width="11.28515625" style="42" customWidth="1"/>
    <col min="2314" max="2314" width="13.42578125" style="42" customWidth="1"/>
    <col min="2315" max="2315" width="8.28515625" style="42" customWidth="1"/>
    <col min="2316" max="2317" width="11.42578125" style="42" customWidth="1"/>
    <col min="2318" max="2318" width="13.5703125" style="42" customWidth="1"/>
    <col min="2319" max="2319" width="8" style="42" customWidth="1"/>
    <col min="2320" max="2320" width="11.42578125" style="42" customWidth="1"/>
    <col min="2321" max="2321" width="11.7109375" style="42" customWidth="1"/>
    <col min="2322" max="2322" width="13.42578125" style="42" customWidth="1"/>
    <col min="2323" max="2323" width="10.7109375" style="42" customWidth="1"/>
    <col min="2324" max="2324" width="11.42578125" style="42" customWidth="1"/>
    <col min="2325" max="2325" width="13" style="42" customWidth="1"/>
    <col min="2326" max="2326" width="17.85546875" style="42" customWidth="1"/>
    <col min="2327" max="2560" width="8.85546875" style="42"/>
    <col min="2561" max="2561" width="6.7109375" style="42" customWidth="1"/>
    <col min="2562" max="2562" width="32.85546875" style="42" customWidth="1"/>
    <col min="2563" max="2563" width="12.42578125" style="42" customWidth="1"/>
    <col min="2564" max="2564" width="13.42578125" style="42" customWidth="1"/>
    <col min="2565" max="2566" width="12.85546875" style="42" customWidth="1"/>
    <col min="2567" max="2567" width="8.7109375" style="42" customWidth="1"/>
    <col min="2568" max="2568" width="13.140625" style="42" customWidth="1"/>
    <col min="2569" max="2569" width="11.28515625" style="42" customWidth="1"/>
    <col min="2570" max="2570" width="13.42578125" style="42" customWidth="1"/>
    <col min="2571" max="2571" width="8.28515625" style="42" customWidth="1"/>
    <col min="2572" max="2573" width="11.42578125" style="42" customWidth="1"/>
    <col min="2574" max="2574" width="13.5703125" style="42" customWidth="1"/>
    <col min="2575" max="2575" width="8" style="42" customWidth="1"/>
    <col min="2576" max="2576" width="11.42578125" style="42" customWidth="1"/>
    <col min="2577" max="2577" width="11.7109375" style="42" customWidth="1"/>
    <col min="2578" max="2578" width="13.42578125" style="42" customWidth="1"/>
    <col min="2579" max="2579" width="10.7109375" style="42" customWidth="1"/>
    <col min="2580" max="2580" width="11.42578125" style="42" customWidth="1"/>
    <col min="2581" max="2581" width="13" style="42" customWidth="1"/>
    <col min="2582" max="2582" width="17.85546875" style="42" customWidth="1"/>
    <col min="2583" max="2816" width="8.85546875" style="42"/>
    <col min="2817" max="2817" width="6.7109375" style="42" customWidth="1"/>
    <col min="2818" max="2818" width="32.85546875" style="42" customWidth="1"/>
    <col min="2819" max="2819" width="12.42578125" style="42" customWidth="1"/>
    <col min="2820" max="2820" width="13.42578125" style="42" customWidth="1"/>
    <col min="2821" max="2822" width="12.85546875" style="42" customWidth="1"/>
    <col min="2823" max="2823" width="8.7109375" style="42" customWidth="1"/>
    <col min="2824" max="2824" width="13.140625" style="42" customWidth="1"/>
    <col min="2825" max="2825" width="11.28515625" style="42" customWidth="1"/>
    <col min="2826" max="2826" width="13.42578125" style="42" customWidth="1"/>
    <col min="2827" max="2827" width="8.28515625" style="42" customWidth="1"/>
    <col min="2828" max="2829" width="11.42578125" style="42" customWidth="1"/>
    <col min="2830" max="2830" width="13.5703125" style="42" customWidth="1"/>
    <col min="2831" max="2831" width="8" style="42" customWidth="1"/>
    <col min="2832" max="2832" width="11.42578125" style="42" customWidth="1"/>
    <col min="2833" max="2833" width="11.7109375" style="42" customWidth="1"/>
    <col min="2834" max="2834" width="13.42578125" style="42" customWidth="1"/>
    <col min="2835" max="2835" width="10.7109375" style="42" customWidth="1"/>
    <col min="2836" max="2836" width="11.42578125" style="42" customWidth="1"/>
    <col min="2837" max="2837" width="13" style="42" customWidth="1"/>
    <col min="2838" max="2838" width="17.85546875" style="42" customWidth="1"/>
    <col min="2839" max="3072" width="8.85546875" style="42"/>
    <col min="3073" max="3073" width="6.7109375" style="42" customWidth="1"/>
    <col min="3074" max="3074" width="32.85546875" style="42" customWidth="1"/>
    <col min="3075" max="3075" width="12.42578125" style="42" customWidth="1"/>
    <col min="3076" max="3076" width="13.42578125" style="42" customWidth="1"/>
    <col min="3077" max="3078" width="12.85546875" style="42" customWidth="1"/>
    <col min="3079" max="3079" width="8.7109375" style="42" customWidth="1"/>
    <col min="3080" max="3080" width="13.140625" style="42" customWidth="1"/>
    <col min="3081" max="3081" width="11.28515625" style="42" customWidth="1"/>
    <col min="3082" max="3082" width="13.42578125" style="42" customWidth="1"/>
    <col min="3083" max="3083" width="8.28515625" style="42" customWidth="1"/>
    <col min="3084" max="3085" width="11.42578125" style="42" customWidth="1"/>
    <col min="3086" max="3086" width="13.5703125" style="42" customWidth="1"/>
    <col min="3087" max="3087" width="8" style="42" customWidth="1"/>
    <col min="3088" max="3088" width="11.42578125" style="42" customWidth="1"/>
    <col min="3089" max="3089" width="11.7109375" style="42" customWidth="1"/>
    <col min="3090" max="3090" width="13.42578125" style="42" customWidth="1"/>
    <col min="3091" max="3091" width="10.7109375" style="42" customWidth="1"/>
    <col min="3092" max="3092" width="11.42578125" style="42" customWidth="1"/>
    <col min="3093" max="3093" width="13" style="42" customWidth="1"/>
    <col min="3094" max="3094" width="17.85546875" style="42" customWidth="1"/>
    <col min="3095" max="3328" width="8.85546875" style="42"/>
    <col min="3329" max="3329" width="6.7109375" style="42" customWidth="1"/>
    <col min="3330" max="3330" width="32.85546875" style="42" customWidth="1"/>
    <col min="3331" max="3331" width="12.42578125" style="42" customWidth="1"/>
    <col min="3332" max="3332" width="13.42578125" style="42" customWidth="1"/>
    <col min="3333" max="3334" width="12.85546875" style="42" customWidth="1"/>
    <col min="3335" max="3335" width="8.7109375" style="42" customWidth="1"/>
    <col min="3336" max="3336" width="13.140625" style="42" customWidth="1"/>
    <col min="3337" max="3337" width="11.28515625" style="42" customWidth="1"/>
    <col min="3338" max="3338" width="13.42578125" style="42" customWidth="1"/>
    <col min="3339" max="3339" width="8.28515625" style="42" customWidth="1"/>
    <col min="3340" max="3341" width="11.42578125" style="42" customWidth="1"/>
    <col min="3342" max="3342" width="13.5703125" style="42" customWidth="1"/>
    <col min="3343" max="3343" width="8" style="42" customWidth="1"/>
    <col min="3344" max="3344" width="11.42578125" style="42" customWidth="1"/>
    <col min="3345" max="3345" width="11.7109375" style="42" customWidth="1"/>
    <col min="3346" max="3346" width="13.42578125" style="42" customWidth="1"/>
    <col min="3347" max="3347" width="10.7109375" style="42" customWidth="1"/>
    <col min="3348" max="3348" width="11.42578125" style="42" customWidth="1"/>
    <col min="3349" max="3349" width="13" style="42" customWidth="1"/>
    <col min="3350" max="3350" width="17.85546875" style="42" customWidth="1"/>
    <col min="3351" max="3584" width="8.85546875" style="42"/>
    <col min="3585" max="3585" width="6.7109375" style="42" customWidth="1"/>
    <col min="3586" max="3586" width="32.85546875" style="42" customWidth="1"/>
    <col min="3587" max="3587" width="12.42578125" style="42" customWidth="1"/>
    <col min="3588" max="3588" width="13.42578125" style="42" customWidth="1"/>
    <col min="3589" max="3590" width="12.85546875" style="42" customWidth="1"/>
    <col min="3591" max="3591" width="8.7109375" style="42" customWidth="1"/>
    <col min="3592" max="3592" width="13.140625" style="42" customWidth="1"/>
    <col min="3593" max="3593" width="11.28515625" style="42" customWidth="1"/>
    <col min="3594" max="3594" width="13.42578125" style="42" customWidth="1"/>
    <col min="3595" max="3595" width="8.28515625" style="42" customWidth="1"/>
    <col min="3596" max="3597" width="11.42578125" style="42" customWidth="1"/>
    <col min="3598" max="3598" width="13.5703125" style="42" customWidth="1"/>
    <col min="3599" max="3599" width="8" style="42" customWidth="1"/>
    <col min="3600" max="3600" width="11.42578125" style="42" customWidth="1"/>
    <col min="3601" max="3601" width="11.7109375" style="42" customWidth="1"/>
    <col min="3602" max="3602" width="13.42578125" style="42" customWidth="1"/>
    <col min="3603" max="3603" width="10.7109375" style="42" customWidth="1"/>
    <col min="3604" max="3604" width="11.42578125" style="42" customWidth="1"/>
    <col min="3605" max="3605" width="13" style="42" customWidth="1"/>
    <col min="3606" max="3606" width="17.85546875" style="42" customWidth="1"/>
    <col min="3607" max="3840" width="8.85546875" style="42"/>
    <col min="3841" max="3841" width="6.7109375" style="42" customWidth="1"/>
    <col min="3842" max="3842" width="32.85546875" style="42" customWidth="1"/>
    <col min="3843" max="3843" width="12.42578125" style="42" customWidth="1"/>
    <col min="3844" max="3844" width="13.42578125" style="42" customWidth="1"/>
    <col min="3845" max="3846" width="12.85546875" style="42" customWidth="1"/>
    <col min="3847" max="3847" width="8.7109375" style="42" customWidth="1"/>
    <col min="3848" max="3848" width="13.140625" style="42" customWidth="1"/>
    <col min="3849" max="3849" width="11.28515625" style="42" customWidth="1"/>
    <col min="3850" max="3850" width="13.42578125" style="42" customWidth="1"/>
    <col min="3851" max="3851" width="8.28515625" style="42" customWidth="1"/>
    <col min="3852" max="3853" width="11.42578125" style="42" customWidth="1"/>
    <col min="3854" max="3854" width="13.5703125" style="42" customWidth="1"/>
    <col min="3855" max="3855" width="8" style="42" customWidth="1"/>
    <col min="3856" max="3856" width="11.42578125" style="42" customWidth="1"/>
    <col min="3857" max="3857" width="11.7109375" style="42" customWidth="1"/>
    <col min="3858" max="3858" width="13.42578125" style="42" customWidth="1"/>
    <col min="3859" max="3859" width="10.7109375" style="42" customWidth="1"/>
    <col min="3860" max="3860" width="11.42578125" style="42" customWidth="1"/>
    <col min="3861" max="3861" width="13" style="42" customWidth="1"/>
    <col min="3862" max="3862" width="17.85546875" style="42" customWidth="1"/>
    <col min="3863" max="4096" width="8.85546875" style="42"/>
    <col min="4097" max="4097" width="6.7109375" style="42" customWidth="1"/>
    <col min="4098" max="4098" width="32.85546875" style="42" customWidth="1"/>
    <col min="4099" max="4099" width="12.42578125" style="42" customWidth="1"/>
    <col min="4100" max="4100" width="13.42578125" style="42" customWidth="1"/>
    <col min="4101" max="4102" width="12.85546875" style="42" customWidth="1"/>
    <col min="4103" max="4103" width="8.7109375" style="42" customWidth="1"/>
    <col min="4104" max="4104" width="13.140625" style="42" customWidth="1"/>
    <col min="4105" max="4105" width="11.28515625" style="42" customWidth="1"/>
    <col min="4106" max="4106" width="13.42578125" style="42" customWidth="1"/>
    <col min="4107" max="4107" width="8.28515625" style="42" customWidth="1"/>
    <col min="4108" max="4109" width="11.42578125" style="42" customWidth="1"/>
    <col min="4110" max="4110" width="13.5703125" style="42" customWidth="1"/>
    <col min="4111" max="4111" width="8" style="42" customWidth="1"/>
    <col min="4112" max="4112" width="11.42578125" style="42" customWidth="1"/>
    <col min="4113" max="4113" width="11.7109375" style="42" customWidth="1"/>
    <col min="4114" max="4114" width="13.42578125" style="42" customWidth="1"/>
    <col min="4115" max="4115" width="10.7109375" style="42" customWidth="1"/>
    <col min="4116" max="4116" width="11.42578125" style="42" customWidth="1"/>
    <col min="4117" max="4117" width="13" style="42" customWidth="1"/>
    <col min="4118" max="4118" width="17.85546875" style="42" customWidth="1"/>
    <col min="4119" max="4352" width="8.85546875" style="42"/>
    <col min="4353" max="4353" width="6.7109375" style="42" customWidth="1"/>
    <col min="4354" max="4354" width="32.85546875" style="42" customWidth="1"/>
    <col min="4355" max="4355" width="12.42578125" style="42" customWidth="1"/>
    <col min="4356" max="4356" width="13.42578125" style="42" customWidth="1"/>
    <col min="4357" max="4358" width="12.85546875" style="42" customWidth="1"/>
    <col min="4359" max="4359" width="8.7109375" style="42" customWidth="1"/>
    <col min="4360" max="4360" width="13.140625" style="42" customWidth="1"/>
    <col min="4361" max="4361" width="11.28515625" style="42" customWidth="1"/>
    <col min="4362" max="4362" width="13.42578125" style="42" customWidth="1"/>
    <col min="4363" max="4363" width="8.28515625" style="42" customWidth="1"/>
    <col min="4364" max="4365" width="11.42578125" style="42" customWidth="1"/>
    <col min="4366" max="4366" width="13.5703125" style="42" customWidth="1"/>
    <col min="4367" max="4367" width="8" style="42" customWidth="1"/>
    <col min="4368" max="4368" width="11.42578125" style="42" customWidth="1"/>
    <col min="4369" max="4369" width="11.7109375" style="42" customWidth="1"/>
    <col min="4370" max="4370" width="13.42578125" style="42" customWidth="1"/>
    <col min="4371" max="4371" width="10.7109375" style="42" customWidth="1"/>
    <col min="4372" max="4372" width="11.42578125" style="42" customWidth="1"/>
    <col min="4373" max="4373" width="13" style="42" customWidth="1"/>
    <col min="4374" max="4374" width="17.85546875" style="42" customWidth="1"/>
    <col min="4375" max="4608" width="8.85546875" style="42"/>
    <col min="4609" max="4609" width="6.7109375" style="42" customWidth="1"/>
    <col min="4610" max="4610" width="32.85546875" style="42" customWidth="1"/>
    <col min="4611" max="4611" width="12.42578125" style="42" customWidth="1"/>
    <col min="4612" max="4612" width="13.42578125" style="42" customWidth="1"/>
    <col min="4613" max="4614" width="12.85546875" style="42" customWidth="1"/>
    <col min="4615" max="4615" width="8.7109375" style="42" customWidth="1"/>
    <col min="4616" max="4616" width="13.140625" style="42" customWidth="1"/>
    <col min="4617" max="4617" width="11.28515625" style="42" customWidth="1"/>
    <col min="4618" max="4618" width="13.42578125" style="42" customWidth="1"/>
    <col min="4619" max="4619" width="8.28515625" style="42" customWidth="1"/>
    <col min="4620" max="4621" width="11.42578125" style="42" customWidth="1"/>
    <col min="4622" max="4622" width="13.5703125" style="42" customWidth="1"/>
    <col min="4623" max="4623" width="8" style="42" customWidth="1"/>
    <col min="4624" max="4624" width="11.42578125" style="42" customWidth="1"/>
    <col min="4625" max="4625" width="11.7109375" style="42" customWidth="1"/>
    <col min="4626" max="4626" width="13.42578125" style="42" customWidth="1"/>
    <col min="4627" max="4627" width="10.7109375" style="42" customWidth="1"/>
    <col min="4628" max="4628" width="11.42578125" style="42" customWidth="1"/>
    <col min="4629" max="4629" width="13" style="42" customWidth="1"/>
    <col min="4630" max="4630" width="17.85546875" style="42" customWidth="1"/>
    <col min="4631" max="4864" width="8.85546875" style="42"/>
    <col min="4865" max="4865" width="6.7109375" style="42" customWidth="1"/>
    <col min="4866" max="4866" width="32.85546875" style="42" customWidth="1"/>
    <col min="4867" max="4867" width="12.42578125" style="42" customWidth="1"/>
    <col min="4868" max="4868" width="13.42578125" style="42" customWidth="1"/>
    <col min="4869" max="4870" width="12.85546875" style="42" customWidth="1"/>
    <col min="4871" max="4871" width="8.7109375" style="42" customWidth="1"/>
    <col min="4872" max="4872" width="13.140625" style="42" customWidth="1"/>
    <col min="4873" max="4873" width="11.28515625" style="42" customWidth="1"/>
    <col min="4874" max="4874" width="13.42578125" style="42" customWidth="1"/>
    <col min="4875" max="4875" width="8.28515625" style="42" customWidth="1"/>
    <col min="4876" max="4877" width="11.42578125" style="42" customWidth="1"/>
    <col min="4878" max="4878" width="13.5703125" style="42" customWidth="1"/>
    <col min="4879" max="4879" width="8" style="42" customWidth="1"/>
    <col min="4880" max="4880" width="11.42578125" style="42" customWidth="1"/>
    <col min="4881" max="4881" width="11.7109375" style="42" customWidth="1"/>
    <col min="4882" max="4882" width="13.42578125" style="42" customWidth="1"/>
    <col min="4883" max="4883" width="10.7109375" style="42" customWidth="1"/>
    <col min="4884" max="4884" width="11.42578125" style="42" customWidth="1"/>
    <col min="4885" max="4885" width="13" style="42" customWidth="1"/>
    <col min="4886" max="4886" width="17.85546875" style="42" customWidth="1"/>
    <col min="4887" max="5120" width="8.85546875" style="42"/>
    <col min="5121" max="5121" width="6.7109375" style="42" customWidth="1"/>
    <col min="5122" max="5122" width="32.85546875" style="42" customWidth="1"/>
    <col min="5123" max="5123" width="12.42578125" style="42" customWidth="1"/>
    <col min="5124" max="5124" width="13.42578125" style="42" customWidth="1"/>
    <col min="5125" max="5126" width="12.85546875" style="42" customWidth="1"/>
    <col min="5127" max="5127" width="8.7109375" style="42" customWidth="1"/>
    <col min="5128" max="5128" width="13.140625" style="42" customWidth="1"/>
    <col min="5129" max="5129" width="11.28515625" style="42" customWidth="1"/>
    <col min="5130" max="5130" width="13.42578125" style="42" customWidth="1"/>
    <col min="5131" max="5131" width="8.28515625" style="42" customWidth="1"/>
    <col min="5132" max="5133" width="11.42578125" style="42" customWidth="1"/>
    <col min="5134" max="5134" width="13.5703125" style="42" customWidth="1"/>
    <col min="5135" max="5135" width="8" style="42" customWidth="1"/>
    <col min="5136" max="5136" width="11.42578125" style="42" customWidth="1"/>
    <col min="5137" max="5137" width="11.7109375" style="42" customWidth="1"/>
    <col min="5138" max="5138" width="13.42578125" style="42" customWidth="1"/>
    <col min="5139" max="5139" width="10.7109375" style="42" customWidth="1"/>
    <col min="5140" max="5140" width="11.42578125" style="42" customWidth="1"/>
    <col min="5141" max="5141" width="13" style="42" customWidth="1"/>
    <col min="5142" max="5142" width="17.85546875" style="42" customWidth="1"/>
    <col min="5143" max="5376" width="8.85546875" style="42"/>
    <col min="5377" max="5377" width="6.7109375" style="42" customWidth="1"/>
    <col min="5378" max="5378" width="32.85546875" style="42" customWidth="1"/>
    <col min="5379" max="5379" width="12.42578125" style="42" customWidth="1"/>
    <col min="5380" max="5380" width="13.42578125" style="42" customWidth="1"/>
    <col min="5381" max="5382" width="12.85546875" style="42" customWidth="1"/>
    <col min="5383" max="5383" width="8.7109375" style="42" customWidth="1"/>
    <col min="5384" max="5384" width="13.140625" style="42" customWidth="1"/>
    <col min="5385" max="5385" width="11.28515625" style="42" customWidth="1"/>
    <col min="5386" max="5386" width="13.42578125" style="42" customWidth="1"/>
    <col min="5387" max="5387" width="8.28515625" style="42" customWidth="1"/>
    <col min="5388" max="5389" width="11.42578125" style="42" customWidth="1"/>
    <col min="5390" max="5390" width="13.5703125" style="42" customWidth="1"/>
    <col min="5391" max="5391" width="8" style="42" customWidth="1"/>
    <col min="5392" max="5392" width="11.42578125" style="42" customWidth="1"/>
    <col min="5393" max="5393" width="11.7109375" style="42" customWidth="1"/>
    <col min="5394" max="5394" width="13.42578125" style="42" customWidth="1"/>
    <col min="5395" max="5395" width="10.7109375" style="42" customWidth="1"/>
    <col min="5396" max="5396" width="11.42578125" style="42" customWidth="1"/>
    <col min="5397" max="5397" width="13" style="42" customWidth="1"/>
    <col min="5398" max="5398" width="17.85546875" style="42" customWidth="1"/>
    <col min="5399" max="5632" width="8.85546875" style="42"/>
    <col min="5633" max="5633" width="6.7109375" style="42" customWidth="1"/>
    <col min="5634" max="5634" width="32.85546875" style="42" customWidth="1"/>
    <col min="5635" max="5635" width="12.42578125" style="42" customWidth="1"/>
    <col min="5636" max="5636" width="13.42578125" style="42" customWidth="1"/>
    <col min="5637" max="5638" width="12.85546875" style="42" customWidth="1"/>
    <col min="5639" max="5639" width="8.7109375" style="42" customWidth="1"/>
    <col min="5640" max="5640" width="13.140625" style="42" customWidth="1"/>
    <col min="5641" max="5641" width="11.28515625" style="42" customWidth="1"/>
    <col min="5642" max="5642" width="13.42578125" style="42" customWidth="1"/>
    <col min="5643" max="5643" width="8.28515625" style="42" customWidth="1"/>
    <col min="5644" max="5645" width="11.42578125" style="42" customWidth="1"/>
    <col min="5646" max="5646" width="13.5703125" style="42" customWidth="1"/>
    <col min="5647" max="5647" width="8" style="42" customWidth="1"/>
    <col min="5648" max="5648" width="11.42578125" style="42" customWidth="1"/>
    <col min="5649" max="5649" width="11.7109375" style="42" customWidth="1"/>
    <col min="5650" max="5650" width="13.42578125" style="42" customWidth="1"/>
    <col min="5651" max="5651" width="10.7109375" style="42" customWidth="1"/>
    <col min="5652" max="5652" width="11.42578125" style="42" customWidth="1"/>
    <col min="5653" max="5653" width="13" style="42" customWidth="1"/>
    <col min="5654" max="5654" width="17.85546875" style="42" customWidth="1"/>
    <col min="5655" max="5888" width="8.85546875" style="42"/>
    <col min="5889" max="5889" width="6.7109375" style="42" customWidth="1"/>
    <col min="5890" max="5890" width="32.85546875" style="42" customWidth="1"/>
    <col min="5891" max="5891" width="12.42578125" style="42" customWidth="1"/>
    <col min="5892" max="5892" width="13.42578125" style="42" customWidth="1"/>
    <col min="5893" max="5894" width="12.85546875" style="42" customWidth="1"/>
    <col min="5895" max="5895" width="8.7109375" style="42" customWidth="1"/>
    <col min="5896" max="5896" width="13.140625" style="42" customWidth="1"/>
    <col min="5897" max="5897" width="11.28515625" style="42" customWidth="1"/>
    <col min="5898" max="5898" width="13.42578125" style="42" customWidth="1"/>
    <col min="5899" max="5899" width="8.28515625" style="42" customWidth="1"/>
    <col min="5900" max="5901" width="11.42578125" style="42" customWidth="1"/>
    <col min="5902" max="5902" width="13.5703125" style="42" customWidth="1"/>
    <col min="5903" max="5903" width="8" style="42" customWidth="1"/>
    <col min="5904" max="5904" width="11.42578125" style="42" customWidth="1"/>
    <col min="5905" max="5905" width="11.7109375" style="42" customWidth="1"/>
    <col min="5906" max="5906" width="13.42578125" style="42" customWidth="1"/>
    <col min="5907" max="5907" width="10.7109375" style="42" customWidth="1"/>
    <col min="5908" max="5908" width="11.42578125" style="42" customWidth="1"/>
    <col min="5909" max="5909" width="13" style="42" customWidth="1"/>
    <col min="5910" max="5910" width="17.85546875" style="42" customWidth="1"/>
    <col min="5911" max="6144" width="8.85546875" style="42"/>
    <col min="6145" max="6145" width="6.7109375" style="42" customWidth="1"/>
    <col min="6146" max="6146" width="32.85546875" style="42" customWidth="1"/>
    <col min="6147" max="6147" width="12.42578125" style="42" customWidth="1"/>
    <col min="6148" max="6148" width="13.42578125" style="42" customWidth="1"/>
    <col min="6149" max="6150" width="12.85546875" style="42" customWidth="1"/>
    <col min="6151" max="6151" width="8.7109375" style="42" customWidth="1"/>
    <col min="6152" max="6152" width="13.140625" style="42" customWidth="1"/>
    <col min="6153" max="6153" width="11.28515625" style="42" customWidth="1"/>
    <col min="6154" max="6154" width="13.42578125" style="42" customWidth="1"/>
    <col min="6155" max="6155" width="8.28515625" style="42" customWidth="1"/>
    <col min="6156" max="6157" width="11.42578125" style="42" customWidth="1"/>
    <col min="6158" max="6158" width="13.5703125" style="42" customWidth="1"/>
    <col min="6159" max="6159" width="8" style="42" customWidth="1"/>
    <col min="6160" max="6160" width="11.42578125" style="42" customWidth="1"/>
    <col min="6161" max="6161" width="11.7109375" style="42" customWidth="1"/>
    <col min="6162" max="6162" width="13.42578125" style="42" customWidth="1"/>
    <col min="6163" max="6163" width="10.7109375" style="42" customWidth="1"/>
    <col min="6164" max="6164" width="11.42578125" style="42" customWidth="1"/>
    <col min="6165" max="6165" width="13" style="42" customWidth="1"/>
    <col min="6166" max="6166" width="17.85546875" style="42" customWidth="1"/>
    <col min="6167" max="6400" width="8.85546875" style="42"/>
    <col min="6401" max="6401" width="6.7109375" style="42" customWidth="1"/>
    <col min="6402" max="6402" width="32.85546875" style="42" customWidth="1"/>
    <col min="6403" max="6403" width="12.42578125" style="42" customWidth="1"/>
    <col min="6404" max="6404" width="13.42578125" style="42" customWidth="1"/>
    <col min="6405" max="6406" width="12.85546875" style="42" customWidth="1"/>
    <col min="6407" max="6407" width="8.7109375" style="42" customWidth="1"/>
    <col min="6408" max="6408" width="13.140625" style="42" customWidth="1"/>
    <col min="6409" max="6409" width="11.28515625" style="42" customWidth="1"/>
    <col min="6410" max="6410" width="13.42578125" style="42" customWidth="1"/>
    <col min="6411" max="6411" width="8.28515625" style="42" customWidth="1"/>
    <col min="6412" max="6413" width="11.42578125" style="42" customWidth="1"/>
    <col min="6414" max="6414" width="13.5703125" style="42" customWidth="1"/>
    <col min="6415" max="6415" width="8" style="42" customWidth="1"/>
    <col min="6416" max="6416" width="11.42578125" style="42" customWidth="1"/>
    <col min="6417" max="6417" width="11.7109375" style="42" customWidth="1"/>
    <col min="6418" max="6418" width="13.42578125" style="42" customWidth="1"/>
    <col min="6419" max="6419" width="10.7109375" style="42" customWidth="1"/>
    <col min="6420" max="6420" width="11.42578125" style="42" customWidth="1"/>
    <col min="6421" max="6421" width="13" style="42" customWidth="1"/>
    <col min="6422" max="6422" width="17.85546875" style="42" customWidth="1"/>
    <col min="6423" max="6656" width="8.85546875" style="42"/>
    <col min="6657" max="6657" width="6.7109375" style="42" customWidth="1"/>
    <col min="6658" max="6658" width="32.85546875" style="42" customWidth="1"/>
    <col min="6659" max="6659" width="12.42578125" style="42" customWidth="1"/>
    <col min="6660" max="6660" width="13.42578125" style="42" customWidth="1"/>
    <col min="6661" max="6662" width="12.85546875" style="42" customWidth="1"/>
    <col min="6663" max="6663" width="8.7109375" style="42" customWidth="1"/>
    <col min="6664" max="6664" width="13.140625" style="42" customWidth="1"/>
    <col min="6665" max="6665" width="11.28515625" style="42" customWidth="1"/>
    <col min="6666" max="6666" width="13.42578125" style="42" customWidth="1"/>
    <col min="6667" max="6667" width="8.28515625" style="42" customWidth="1"/>
    <col min="6668" max="6669" width="11.42578125" style="42" customWidth="1"/>
    <col min="6670" max="6670" width="13.5703125" style="42" customWidth="1"/>
    <col min="6671" max="6671" width="8" style="42" customWidth="1"/>
    <col min="6672" max="6672" width="11.42578125" style="42" customWidth="1"/>
    <col min="6673" max="6673" width="11.7109375" style="42" customWidth="1"/>
    <col min="6674" max="6674" width="13.42578125" style="42" customWidth="1"/>
    <col min="6675" max="6675" width="10.7109375" style="42" customWidth="1"/>
    <col min="6676" max="6676" width="11.42578125" style="42" customWidth="1"/>
    <col min="6677" max="6677" width="13" style="42" customWidth="1"/>
    <col min="6678" max="6678" width="17.85546875" style="42" customWidth="1"/>
    <col min="6679" max="6912" width="8.85546875" style="42"/>
    <col min="6913" max="6913" width="6.7109375" style="42" customWidth="1"/>
    <col min="6914" max="6914" width="32.85546875" style="42" customWidth="1"/>
    <col min="6915" max="6915" width="12.42578125" style="42" customWidth="1"/>
    <col min="6916" max="6916" width="13.42578125" style="42" customWidth="1"/>
    <col min="6917" max="6918" width="12.85546875" style="42" customWidth="1"/>
    <col min="6919" max="6919" width="8.7109375" style="42" customWidth="1"/>
    <col min="6920" max="6920" width="13.140625" style="42" customWidth="1"/>
    <col min="6921" max="6921" width="11.28515625" style="42" customWidth="1"/>
    <col min="6922" max="6922" width="13.42578125" style="42" customWidth="1"/>
    <col min="6923" max="6923" width="8.28515625" style="42" customWidth="1"/>
    <col min="6924" max="6925" width="11.42578125" style="42" customWidth="1"/>
    <col min="6926" max="6926" width="13.5703125" style="42" customWidth="1"/>
    <col min="6927" max="6927" width="8" style="42" customWidth="1"/>
    <col min="6928" max="6928" width="11.42578125" style="42" customWidth="1"/>
    <col min="6929" max="6929" width="11.7109375" style="42" customWidth="1"/>
    <col min="6930" max="6930" width="13.42578125" style="42" customWidth="1"/>
    <col min="6931" max="6931" width="10.7109375" style="42" customWidth="1"/>
    <col min="6932" max="6932" width="11.42578125" style="42" customWidth="1"/>
    <col min="6933" max="6933" width="13" style="42" customWidth="1"/>
    <col min="6934" max="6934" width="17.85546875" style="42" customWidth="1"/>
    <col min="6935" max="7168" width="8.85546875" style="42"/>
    <col min="7169" max="7169" width="6.7109375" style="42" customWidth="1"/>
    <col min="7170" max="7170" width="32.85546875" style="42" customWidth="1"/>
    <col min="7171" max="7171" width="12.42578125" style="42" customWidth="1"/>
    <col min="7172" max="7172" width="13.42578125" style="42" customWidth="1"/>
    <col min="7173" max="7174" width="12.85546875" style="42" customWidth="1"/>
    <col min="7175" max="7175" width="8.7109375" style="42" customWidth="1"/>
    <col min="7176" max="7176" width="13.140625" style="42" customWidth="1"/>
    <col min="7177" max="7177" width="11.28515625" style="42" customWidth="1"/>
    <col min="7178" max="7178" width="13.42578125" style="42" customWidth="1"/>
    <col min="7179" max="7179" width="8.28515625" style="42" customWidth="1"/>
    <col min="7180" max="7181" width="11.42578125" style="42" customWidth="1"/>
    <col min="7182" max="7182" width="13.5703125" style="42" customWidth="1"/>
    <col min="7183" max="7183" width="8" style="42" customWidth="1"/>
    <col min="7184" max="7184" width="11.42578125" style="42" customWidth="1"/>
    <col min="7185" max="7185" width="11.7109375" style="42" customWidth="1"/>
    <col min="7186" max="7186" width="13.42578125" style="42" customWidth="1"/>
    <col min="7187" max="7187" width="10.7109375" style="42" customWidth="1"/>
    <col min="7188" max="7188" width="11.42578125" style="42" customWidth="1"/>
    <col min="7189" max="7189" width="13" style="42" customWidth="1"/>
    <col min="7190" max="7190" width="17.85546875" style="42" customWidth="1"/>
    <col min="7191" max="7424" width="8.85546875" style="42"/>
    <col min="7425" max="7425" width="6.7109375" style="42" customWidth="1"/>
    <col min="7426" max="7426" width="32.85546875" style="42" customWidth="1"/>
    <col min="7427" max="7427" width="12.42578125" style="42" customWidth="1"/>
    <col min="7428" max="7428" width="13.42578125" style="42" customWidth="1"/>
    <col min="7429" max="7430" width="12.85546875" style="42" customWidth="1"/>
    <col min="7431" max="7431" width="8.7109375" style="42" customWidth="1"/>
    <col min="7432" max="7432" width="13.140625" style="42" customWidth="1"/>
    <col min="7433" max="7433" width="11.28515625" style="42" customWidth="1"/>
    <col min="7434" max="7434" width="13.42578125" style="42" customWidth="1"/>
    <col min="7435" max="7435" width="8.28515625" style="42" customWidth="1"/>
    <col min="7436" max="7437" width="11.42578125" style="42" customWidth="1"/>
    <col min="7438" max="7438" width="13.5703125" style="42" customWidth="1"/>
    <col min="7439" max="7439" width="8" style="42" customWidth="1"/>
    <col min="7440" max="7440" width="11.42578125" style="42" customWidth="1"/>
    <col min="7441" max="7441" width="11.7109375" style="42" customWidth="1"/>
    <col min="7442" max="7442" width="13.42578125" style="42" customWidth="1"/>
    <col min="7443" max="7443" width="10.7109375" style="42" customWidth="1"/>
    <col min="7444" max="7444" width="11.42578125" style="42" customWidth="1"/>
    <col min="7445" max="7445" width="13" style="42" customWidth="1"/>
    <col min="7446" max="7446" width="17.85546875" style="42" customWidth="1"/>
    <col min="7447" max="7680" width="8.85546875" style="42"/>
    <col min="7681" max="7681" width="6.7109375" style="42" customWidth="1"/>
    <col min="7682" max="7682" width="32.85546875" style="42" customWidth="1"/>
    <col min="7683" max="7683" width="12.42578125" style="42" customWidth="1"/>
    <col min="7684" max="7684" width="13.42578125" style="42" customWidth="1"/>
    <col min="7685" max="7686" width="12.85546875" style="42" customWidth="1"/>
    <col min="7687" max="7687" width="8.7109375" style="42" customWidth="1"/>
    <col min="7688" max="7688" width="13.140625" style="42" customWidth="1"/>
    <col min="7689" max="7689" width="11.28515625" style="42" customWidth="1"/>
    <col min="7690" max="7690" width="13.42578125" style="42" customWidth="1"/>
    <col min="7691" max="7691" width="8.28515625" style="42" customWidth="1"/>
    <col min="7692" max="7693" width="11.42578125" style="42" customWidth="1"/>
    <col min="7694" max="7694" width="13.5703125" style="42" customWidth="1"/>
    <col min="7695" max="7695" width="8" style="42" customWidth="1"/>
    <col min="7696" max="7696" width="11.42578125" style="42" customWidth="1"/>
    <col min="7697" max="7697" width="11.7109375" style="42" customWidth="1"/>
    <col min="7698" max="7698" width="13.42578125" style="42" customWidth="1"/>
    <col min="7699" max="7699" width="10.7109375" style="42" customWidth="1"/>
    <col min="7700" max="7700" width="11.42578125" style="42" customWidth="1"/>
    <col min="7701" max="7701" width="13" style="42" customWidth="1"/>
    <col min="7702" max="7702" width="17.85546875" style="42" customWidth="1"/>
    <col min="7703" max="7936" width="8.85546875" style="42"/>
    <col min="7937" max="7937" width="6.7109375" style="42" customWidth="1"/>
    <col min="7938" max="7938" width="32.85546875" style="42" customWidth="1"/>
    <col min="7939" max="7939" width="12.42578125" style="42" customWidth="1"/>
    <col min="7940" max="7940" width="13.42578125" style="42" customWidth="1"/>
    <col min="7941" max="7942" width="12.85546875" style="42" customWidth="1"/>
    <col min="7943" max="7943" width="8.7109375" style="42" customWidth="1"/>
    <col min="7944" max="7944" width="13.140625" style="42" customWidth="1"/>
    <col min="7945" max="7945" width="11.28515625" style="42" customWidth="1"/>
    <col min="7946" max="7946" width="13.42578125" style="42" customWidth="1"/>
    <col min="7947" max="7947" width="8.28515625" style="42" customWidth="1"/>
    <col min="7948" max="7949" width="11.42578125" style="42" customWidth="1"/>
    <col min="7950" max="7950" width="13.5703125" style="42" customWidth="1"/>
    <col min="7951" max="7951" width="8" style="42" customWidth="1"/>
    <col min="7952" max="7952" width="11.42578125" style="42" customWidth="1"/>
    <col min="7953" max="7953" width="11.7109375" style="42" customWidth="1"/>
    <col min="7954" max="7954" width="13.42578125" style="42" customWidth="1"/>
    <col min="7955" max="7955" width="10.7109375" style="42" customWidth="1"/>
    <col min="7956" max="7956" width="11.42578125" style="42" customWidth="1"/>
    <col min="7957" max="7957" width="13" style="42" customWidth="1"/>
    <col min="7958" max="7958" width="17.85546875" style="42" customWidth="1"/>
    <col min="7959" max="8192" width="8.85546875" style="42"/>
    <col min="8193" max="8193" width="6.7109375" style="42" customWidth="1"/>
    <col min="8194" max="8194" width="32.85546875" style="42" customWidth="1"/>
    <col min="8195" max="8195" width="12.42578125" style="42" customWidth="1"/>
    <col min="8196" max="8196" width="13.42578125" style="42" customWidth="1"/>
    <col min="8197" max="8198" width="12.85546875" style="42" customWidth="1"/>
    <col min="8199" max="8199" width="8.7109375" style="42" customWidth="1"/>
    <col min="8200" max="8200" width="13.140625" style="42" customWidth="1"/>
    <col min="8201" max="8201" width="11.28515625" style="42" customWidth="1"/>
    <col min="8202" max="8202" width="13.42578125" style="42" customWidth="1"/>
    <col min="8203" max="8203" width="8.28515625" style="42" customWidth="1"/>
    <col min="8204" max="8205" width="11.42578125" style="42" customWidth="1"/>
    <col min="8206" max="8206" width="13.5703125" style="42" customWidth="1"/>
    <col min="8207" max="8207" width="8" style="42" customWidth="1"/>
    <col min="8208" max="8208" width="11.42578125" style="42" customWidth="1"/>
    <col min="8209" max="8209" width="11.7109375" style="42" customWidth="1"/>
    <col min="8210" max="8210" width="13.42578125" style="42" customWidth="1"/>
    <col min="8211" max="8211" width="10.7109375" style="42" customWidth="1"/>
    <col min="8212" max="8212" width="11.42578125" style="42" customWidth="1"/>
    <col min="8213" max="8213" width="13" style="42" customWidth="1"/>
    <col min="8214" max="8214" width="17.85546875" style="42" customWidth="1"/>
    <col min="8215" max="8448" width="8.85546875" style="42"/>
    <col min="8449" max="8449" width="6.7109375" style="42" customWidth="1"/>
    <col min="8450" max="8450" width="32.85546875" style="42" customWidth="1"/>
    <col min="8451" max="8451" width="12.42578125" style="42" customWidth="1"/>
    <col min="8452" max="8452" width="13.42578125" style="42" customWidth="1"/>
    <col min="8453" max="8454" width="12.85546875" style="42" customWidth="1"/>
    <col min="8455" max="8455" width="8.7109375" style="42" customWidth="1"/>
    <col min="8456" max="8456" width="13.140625" style="42" customWidth="1"/>
    <col min="8457" max="8457" width="11.28515625" style="42" customWidth="1"/>
    <col min="8458" max="8458" width="13.42578125" style="42" customWidth="1"/>
    <col min="8459" max="8459" width="8.28515625" style="42" customWidth="1"/>
    <col min="8460" max="8461" width="11.42578125" style="42" customWidth="1"/>
    <col min="8462" max="8462" width="13.5703125" style="42" customWidth="1"/>
    <col min="8463" max="8463" width="8" style="42" customWidth="1"/>
    <col min="8464" max="8464" width="11.42578125" style="42" customWidth="1"/>
    <col min="8465" max="8465" width="11.7109375" style="42" customWidth="1"/>
    <col min="8466" max="8466" width="13.42578125" style="42" customWidth="1"/>
    <col min="8467" max="8467" width="10.7109375" style="42" customWidth="1"/>
    <col min="8468" max="8468" width="11.42578125" style="42" customWidth="1"/>
    <col min="8469" max="8469" width="13" style="42" customWidth="1"/>
    <col min="8470" max="8470" width="17.85546875" style="42" customWidth="1"/>
    <col min="8471" max="8704" width="8.85546875" style="42"/>
    <col min="8705" max="8705" width="6.7109375" style="42" customWidth="1"/>
    <col min="8706" max="8706" width="32.85546875" style="42" customWidth="1"/>
    <col min="8707" max="8707" width="12.42578125" style="42" customWidth="1"/>
    <col min="8708" max="8708" width="13.42578125" style="42" customWidth="1"/>
    <col min="8709" max="8710" width="12.85546875" style="42" customWidth="1"/>
    <col min="8711" max="8711" width="8.7109375" style="42" customWidth="1"/>
    <col min="8712" max="8712" width="13.140625" style="42" customWidth="1"/>
    <col min="8713" max="8713" width="11.28515625" style="42" customWidth="1"/>
    <col min="8714" max="8714" width="13.42578125" style="42" customWidth="1"/>
    <col min="8715" max="8715" width="8.28515625" style="42" customWidth="1"/>
    <col min="8716" max="8717" width="11.42578125" style="42" customWidth="1"/>
    <col min="8718" max="8718" width="13.5703125" style="42" customWidth="1"/>
    <col min="8719" max="8719" width="8" style="42" customWidth="1"/>
    <col min="8720" max="8720" width="11.42578125" style="42" customWidth="1"/>
    <col min="8721" max="8721" width="11.7109375" style="42" customWidth="1"/>
    <col min="8722" max="8722" width="13.42578125" style="42" customWidth="1"/>
    <col min="8723" max="8723" width="10.7109375" style="42" customWidth="1"/>
    <col min="8724" max="8724" width="11.42578125" style="42" customWidth="1"/>
    <col min="8725" max="8725" width="13" style="42" customWidth="1"/>
    <col min="8726" max="8726" width="17.85546875" style="42" customWidth="1"/>
    <col min="8727" max="8960" width="8.85546875" style="42"/>
    <col min="8961" max="8961" width="6.7109375" style="42" customWidth="1"/>
    <col min="8962" max="8962" width="32.85546875" style="42" customWidth="1"/>
    <col min="8963" max="8963" width="12.42578125" style="42" customWidth="1"/>
    <col min="8964" max="8964" width="13.42578125" style="42" customWidth="1"/>
    <col min="8965" max="8966" width="12.85546875" style="42" customWidth="1"/>
    <col min="8967" max="8967" width="8.7109375" style="42" customWidth="1"/>
    <col min="8968" max="8968" width="13.140625" style="42" customWidth="1"/>
    <col min="8969" max="8969" width="11.28515625" style="42" customWidth="1"/>
    <col min="8970" max="8970" width="13.42578125" style="42" customWidth="1"/>
    <col min="8971" max="8971" width="8.28515625" style="42" customWidth="1"/>
    <col min="8972" max="8973" width="11.42578125" style="42" customWidth="1"/>
    <col min="8974" max="8974" width="13.5703125" style="42" customWidth="1"/>
    <col min="8975" max="8975" width="8" style="42" customWidth="1"/>
    <col min="8976" max="8976" width="11.42578125" style="42" customWidth="1"/>
    <col min="8977" max="8977" width="11.7109375" style="42" customWidth="1"/>
    <col min="8978" max="8978" width="13.42578125" style="42" customWidth="1"/>
    <col min="8979" max="8979" width="10.7109375" style="42" customWidth="1"/>
    <col min="8980" max="8980" width="11.42578125" style="42" customWidth="1"/>
    <col min="8981" max="8981" width="13" style="42" customWidth="1"/>
    <col min="8982" max="8982" width="17.85546875" style="42" customWidth="1"/>
    <col min="8983" max="9216" width="8.85546875" style="42"/>
    <col min="9217" max="9217" width="6.7109375" style="42" customWidth="1"/>
    <col min="9218" max="9218" width="32.85546875" style="42" customWidth="1"/>
    <col min="9219" max="9219" width="12.42578125" style="42" customWidth="1"/>
    <col min="9220" max="9220" width="13.42578125" style="42" customWidth="1"/>
    <col min="9221" max="9222" width="12.85546875" style="42" customWidth="1"/>
    <col min="9223" max="9223" width="8.7109375" style="42" customWidth="1"/>
    <col min="9224" max="9224" width="13.140625" style="42" customWidth="1"/>
    <col min="9225" max="9225" width="11.28515625" style="42" customWidth="1"/>
    <col min="9226" max="9226" width="13.42578125" style="42" customWidth="1"/>
    <col min="9227" max="9227" width="8.28515625" style="42" customWidth="1"/>
    <col min="9228" max="9229" width="11.42578125" style="42" customWidth="1"/>
    <col min="9230" max="9230" width="13.5703125" style="42" customWidth="1"/>
    <col min="9231" max="9231" width="8" style="42" customWidth="1"/>
    <col min="9232" max="9232" width="11.42578125" style="42" customWidth="1"/>
    <col min="9233" max="9233" width="11.7109375" style="42" customWidth="1"/>
    <col min="9234" max="9234" width="13.42578125" style="42" customWidth="1"/>
    <col min="9235" max="9235" width="10.7109375" style="42" customWidth="1"/>
    <col min="9236" max="9236" width="11.42578125" style="42" customWidth="1"/>
    <col min="9237" max="9237" width="13" style="42" customWidth="1"/>
    <col min="9238" max="9238" width="17.85546875" style="42" customWidth="1"/>
    <col min="9239" max="9472" width="8.85546875" style="42"/>
    <col min="9473" max="9473" width="6.7109375" style="42" customWidth="1"/>
    <col min="9474" max="9474" width="32.85546875" style="42" customWidth="1"/>
    <col min="9475" max="9475" width="12.42578125" style="42" customWidth="1"/>
    <col min="9476" max="9476" width="13.42578125" style="42" customWidth="1"/>
    <col min="9477" max="9478" width="12.85546875" style="42" customWidth="1"/>
    <col min="9479" max="9479" width="8.7109375" style="42" customWidth="1"/>
    <col min="9480" max="9480" width="13.140625" style="42" customWidth="1"/>
    <col min="9481" max="9481" width="11.28515625" style="42" customWidth="1"/>
    <col min="9482" max="9482" width="13.42578125" style="42" customWidth="1"/>
    <col min="9483" max="9483" width="8.28515625" style="42" customWidth="1"/>
    <col min="9484" max="9485" width="11.42578125" style="42" customWidth="1"/>
    <col min="9486" max="9486" width="13.5703125" style="42" customWidth="1"/>
    <col min="9487" max="9487" width="8" style="42" customWidth="1"/>
    <col min="9488" max="9488" width="11.42578125" style="42" customWidth="1"/>
    <col min="9489" max="9489" width="11.7109375" style="42" customWidth="1"/>
    <col min="9490" max="9490" width="13.42578125" style="42" customWidth="1"/>
    <col min="9491" max="9491" width="10.7109375" style="42" customWidth="1"/>
    <col min="9492" max="9492" width="11.42578125" style="42" customWidth="1"/>
    <col min="9493" max="9493" width="13" style="42" customWidth="1"/>
    <col min="9494" max="9494" width="17.85546875" style="42" customWidth="1"/>
    <col min="9495" max="9728" width="8.85546875" style="42"/>
    <col min="9729" max="9729" width="6.7109375" style="42" customWidth="1"/>
    <col min="9730" max="9730" width="32.85546875" style="42" customWidth="1"/>
    <col min="9731" max="9731" width="12.42578125" style="42" customWidth="1"/>
    <col min="9732" max="9732" width="13.42578125" style="42" customWidth="1"/>
    <col min="9733" max="9734" width="12.85546875" style="42" customWidth="1"/>
    <col min="9735" max="9735" width="8.7109375" style="42" customWidth="1"/>
    <col min="9736" max="9736" width="13.140625" style="42" customWidth="1"/>
    <col min="9737" max="9737" width="11.28515625" style="42" customWidth="1"/>
    <col min="9738" max="9738" width="13.42578125" style="42" customWidth="1"/>
    <col min="9739" max="9739" width="8.28515625" style="42" customWidth="1"/>
    <col min="9740" max="9741" width="11.42578125" style="42" customWidth="1"/>
    <col min="9742" max="9742" width="13.5703125" style="42" customWidth="1"/>
    <col min="9743" max="9743" width="8" style="42" customWidth="1"/>
    <col min="9744" max="9744" width="11.42578125" style="42" customWidth="1"/>
    <col min="9745" max="9745" width="11.7109375" style="42" customWidth="1"/>
    <col min="9746" max="9746" width="13.42578125" style="42" customWidth="1"/>
    <col min="9747" max="9747" width="10.7109375" style="42" customWidth="1"/>
    <col min="9748" max="9748" width="11.42578125" style="42" customWidth="1"/>
    <col min="9749" max="9749" width="13" style="42" customWidth="1"/>
    <col min="9750" max="9750" width="17.85546875" style="42" customWidth="1"/>
    <col min="9751" max="9984" width="8.85546875" style="42"/>
    <col min="9985" max="9985" width="6.7109375" style="42" customWidth="1"/>
    <col min="9986" max="9986" width="32.85546875" style="42" customWidth="1"/>
    <col min="9987" max="9987" width="12.42578125" style="42" customWidth="1"/>
    <col min="9988" max="9988" width="13.42578125" style="42" customWidth="1"/>
    <col min="9989" max="9990" width="12.85546875" style="42" customWidth="1"/>
    <col min="9991" max="9991" width="8.7109375" style="42" customWidth="1"/>
    <col min="9992" max="9992" width="13.140625" style="42" customWidth="1"/>
    <col min="9993" max="9993" width="11.28515625" style="42" customWidth="1"/>
    <col min="9994" max="9994" width="13.42578125" style="42" customWidth="1"/>
    <col min="9995" max="9995" width="8.28515625" style="42" customWidth="1"/>
    <col min="9996" max="9997" width="11.42578125" style="42" customWidth="1"/>
    <col min="9998" max="9998" width="13.5703125" style="42" customWidth="1"/>
    <col min="9999" max="9999" width="8" style="42" customWidth="1"/>
    <col min="10000" max="10000" width="11.42578125" style="42" customWidth="1"/>
    <col min="10001" max="10001" width="11.7109375" style="42" customWidth="1"/>
    <col min="10002" max="10002" width="13.42578125" style="42" customWidth="1"/>
    <col min="10003" max="10003" width="10.7109375" style="42" customWidth="1"/>
    <col min="10004" max="10004" width="11.42578125" style="42" customWidth="1"/>
    <col min="10005" max="10005" width="13" style="42" customWidth="1"/>
    <col min="10006" max="10006" width="17.85546875" style="42" customWidth="1"/>
    <col min="10007" max="10240" width="8.85546875" style="42"/>
    <col min="10241" max="10241" width="6.7109375" style="42" customWidth="1"/>
    <col min="10242" max="10242" width="32.85546875" style="42" customWidth="1"/>
    <col min="10243" max="10243" width="12.42578125" style="42" customWidth="1"/>
    <col min="10244" max="10244" width="13.42578125" style="42" customWidth="1"/>
    <col min="10245" max="10246" width="12.85546875" style="42" customWidth="1"/>
    <col min="10247" max="10247" width="8.7109375" style="42" customWidth="1"/>
    <col min="10248" max="10248" width="13.140625" style="42" customWidth="1"/>
    <col min="10249" max="10249" width="11.28515625" style="42" customWidth="1"/>
    <col min="10250" max="10250" width="13.42578125" style="42" customWidth="1"/>
    <col min="10251" max="10251" width="8.28515625" style="42" customWidth="1"/>
    <col min="10252" max="10253" width="11.42578125" style="42" customWidth="1"/>
    <col min="10254" max="10254" width="13.5703125" style="42" customWidth="1"/>
    <col min="10255" max="10255" width="8" style="42" customWidth="1"/>
    <col min="10256" max="10256" width="11.42578125" style="42" customWidth="1"/>
    <col min="10257" max="10257" width="11.7109375" style="42" customWidth="1"/>
    <col min="10258" max="10258" width="13.42578125" style="42" customWidth="1"/>
    <col min="10259" max="10259" width="10.7109375" style="42" customWidth="1"/>
    <col min="10260" max="10260" width="11.42578125" style="42" customWidth="1"/>
    <col min="10261" max="10261" width="13" style="42" customWidth="1"/>
    <col min="10262" max="10262" width="17.85546875" style="42" customWidth="1"/>
    <col min="10263" max="10496" width="8.85546875" style="42"/>
    <col min="10497" max="10497" width="6.7109375" style="42" customWidth="1"/>
    <col min="10498" max="10498" width="32.85546875" style="42" customWidth="1"/>
    <col min="10499" max="10499" width="12.42578125" style="42" customWidth="1"/>
    <col min="10500" max="10500" width="13.42578125" style="42" customWidth="1"/>
    <col min="10501" max="10502" width="12.85546875" style="42" customWidth="1"/>
    <col min="10503" max="10503" width="8.7109375" style="42" customWidth="1"/>
    <col min="10504" max="10504" width="13.140625" style="42" customWidth="1"/>
    <col min="10505" max="10505" width="11.28515625" style="42" customWidth="1"/>
    <col min="10506" max="10506" width="13.42578125" style="42" customWidth="1"/>
    <col min="10507" max="10507" width="8.28515625" style="42" customWidth="1"/>
    <col min="10508" max="10509" width="11.42578125" style="42" customWidth="1"/>
    <col min="10510" max="10510" width="13.5703125" style="42" customWidth="1"/>
    <col min="10511" max="10511" width="8" style="42" customWidth="1"/>
    <col min="10512" max="10512" width="11.42578125" style="42" customWidth="1"/>
    <col min="10513" max="10513" width="11.7109375" style="42" customWidth="1"/>
    <col min="10514" max="10514" width="13.42578125" style="42" customWidth="1"/>
    <col min="10515" max="10515" width="10.7109375" style="42" customWidth="1"/>
    <col min="10516" max="10516" width="11.42578125" style="42" customWidth="1"/>
    <col min="10517" max="10517" width="13" style="42" customWidth="1"/>
    <col min="10518" max="10518" width="17.85546875" style="42" customWidth="1"/>
    <col min="10519" max="10752" width="8.85546875" style="42"/>
    <col min="10753" max="10753" width="6.7109375" style="42" customWidth="1"/>
    <col min="10754" max="10754" width="32.85546875" style="42" customWidth="1"/>
    <col min="10755" max="10755" width="12.42578125" style="42" customWidth="1"/>
    <col min="10756" max="10756" width="13.42578125" style="42" customWidth="1"/>
    <col min="10757" max="10758" width="12.85546875" style="42" customWidth="1"/>
    <col min="10759" max="10759" width="8.7109375" style="42" customWidth="1"/>
    <col min="10760" max="10760" width="13.140625" style="42" customWidth="1"/>
    <col min="10761" max="10761" width="11.28515625" style="42" customWidth="1"/>
    <col min="10762" max="10762" width="13.42578125" style="42" customWidth="1"/>
    <col min="10763" max="10763" width="8.28515625" style="42" customWidth="1"/>
    <col min="10764" max="10765" width="11.42578125" style="42" customWidth="1"/>
    <col min="10766" max="10766" width="13.5703125" style="42" customWidth="1"/>
    <col min="10767" max="10767" width="8" style="42" customWidth="1"/>
    <col min="10768" max="10768" width="11.42578125" style="42" customWidth="1"/>
    <col min="10769" max="10769" width="11.7109375" style="42" customWidth="1"/>
    <col min="10770" max="10770" width="13.42578125" style="42" customWidth="1"/>
    <col min="10771" max="10771" width="10.7109375" style="42" customWidth="1"/>
    <col min="10772" max="10772" width="11.42578125" style="42" customWidth="1"/>
    <col min="10773" max="10773" width="13" style="42" customWidth="1"/>
    <col min="10774" max="10774" width="17.85546875" style="42" customWidth="1"/>
    <col min="10775" max="11008" width="8.85546875" style="42"/>
    <col min="11009" max="11009" width="6.7109375" style="42" customWidth="1"/>
    <col min="11010" max="11010" width="32.85546875" style="42" customWidth="1"/>
    <col min="11011" max="11011" width="12.42578125" style="42" customWidth="1"/>
    <col min="11012" max="11012" width="13.42578125" style="42" customWidth="1"/>
    <col min="11013" max="11014" width="12.85546875" style="42" customWidth="1"/>
    <col min="11015" max="11015" width="8.7109375" style="42" customWidth="1"/>
    <col min="11016" max="11016" width="13.140625" style="42" customWidth="1"/>
    <col min="11017" max="11017" width="11.28515625" style="42" customWidth="1"/>
    <col min="11018" max="11018" width="13.42578125" style="42" customWidth="1"/>
    <col min="11019" max="11019" width="8.28515625" style="42" customWidth="1"/>
    <col min="11020" max="11021" width="11.42578125" style="42" customWidth="1"/>
    <col min="11022" max="11022" width="13.5703125" style="42" customWidth="1"/>
    <col min="11023" max="11023" width="8" style="42" customWidth="1"/>
    <col min="11024" max="11024" width="11.42578125" style="42" customWidth="1"/>
    <col min="11025" max="11025" width="11.7109375" style="42" customWidth="1"/>
    <col min="11026" max="11026" width="13.42578125" style="42" customWidth="1"/>
    <col min="11027" max="11027" width="10.7109375" style="42" customWidth="1"/>
    <col min="11028" max="11028" width="11.42578125" style="42" customWidth="1"/>
    <col min="11029" max="11029" width="13" style="42" customWidth="1"/>
    <col min="11030" max="11030" width="17.85546875" style="42" customWidth="1"/>
    <col min="11031" max="11264" width="8.85546875" style="42"/>
    <col min="11265" max="11265" width="6.7109375" style="42" customWidth="1"/>
    <col min="11266" max="11266" width="32.85546875" style="42" customWidth="1"/>
    <col min="11267" max="11267" width="12.42578125" style="42" customWidth="1"/>
    <col min="11268" max="11268" width="13.42578125" style="42" customWidth="1"/>
    <col min="11269" max="11270" width="12.85546875" style="42" customWidth="1"/>
    <col min="11271" max="11271" width="8.7109375" style="42" customWidth="1"/>
    <col min="11272" max="11272" width="13.140625" style="42" customWidth="1"/>
    <col min="11273" max="11273" width="11.28515625" style="42" customWidth="1"/>
    <col min="11274" max="11274" width="13.42578125" style="42" customWidth="1"/>
    <col min="11275" max="11275" width="8.28515625" style="42" customWidth="1"/>
    <col min="11276" max="11277" width="11.42578125" style="42" customWidth="1"/>
    <col min="11278" max="11278" width="13.5703125" style="42" customWidth="1"/>
    <col min="11279" max="11279" width="8" style="42" customWidth="1"/>
    <col min="11280" max="11280" width="11.42578125" style="42" customWidth="1"/>
    <col min="11281" max="11281" width="11.7109375" style="42" customWidth="1"/>
    <col min="11282" max="11282" width="13.42578125" style="42" customWidth="1"/>
    <col min="11283" max="11283" width="10.7109375" style="42" customWidth="1"/>
    <col min="11284" max="11284" width="11.42578125" style="42" customWidth="1"/>
    <col min="11285" max="11285" width="13" style="42" customWidth="1"/>
    <col min="11286" max="11286" width="17.85546875" style="42" customWidth="1"/>
    <col min="11287" max="11520" width="8.85546875" style="42"/>
    <col min="11521" max="11521" width="6.7109375" style="42" customWidth="1"/>
    <col min="11522" max="11522" width="32.85546875" style="42" customWidth="1"/>
    <col min="11523" max="11523" width="12.42578125" style="42" customWidth="1"/>
    <col min="11524" max="11524" width="13.42578125" style="42" customWidth="1"/>
    <col min="11525" max="11526" width="12.85546875" style="42" customWidth="1"/>
    <col min="11527" max="11527" width="8.7109375" style="42" customWidth="1"/>
    <col min="11528" max="11528" width="13.140625" style="42" customWidth="1"/>
    <col min="11529" max="11529" width="11.28515625" style="42" customWidth="1"/>
    <col min="11530" max="11530" width="13.42578125" style="42" customWidth="1"/>
    <col min="11531" max="11531" width="8.28515625" style="42" customWidth="1"/>
    <col min="11532" max="11533" width="11.42578125" style="42" customWidth="1"/>
    <col min="11534" max="11534" width="13.5703125" style="42" customWidth="1"/>
    <col min="11535" max="11535" width="8" style="42" customWidth="1"/>
    <col min="11536" max="11536" width="11.42578125" style="42" customWidth="1"/>
    <col min="11537" max="11537" width="11.7109375" style="42" customWidth="1"/>
    <col min="11538" max="11538" width="13.42578125" style="42" customWidth="1"/>
    <col min="11539" max="11539" width="10.7109375" style="42" customWidth="1"/>
    <col min="11540" max="11540" width="11.42578125" style="42" customWidth="1"/>
    <col min="11541" max="11541" width="13" style="42" customWidth="1"/>
    <col min="11542" max="11542" width="17.85546875" style="42" customWidth="1"/>
    <col min="11543" max="11776" width="8.85546875" style="42"/>
    <col min="11777" max="11777" width="6.7109375" style="42" customWidth="1"/>
    <col min="11778" max="11778" width="32.85546875" style="42" customWidth="1"/>
    <col min="11779" max="11779" width="12.42578125" style="42" customWidth="1"/>
    <col min="11780" max="11780" width="13.42578125" style="42" customWidth="1"/>
    <col min="11781" max="11782" width="12.85546875" style="42" customWidth="1"/>
    <col min="11783" max="11783" width="8.7109375" style="42" customWidth="1"/>
    <col min="11784" max="11784" width="13.140625" style="42" customWidth="1"/>
    <col min="11785" max="11785" width="11.28515625" style="42" customWidth="1"/>
    <col min="11786" max="11786" width="13.42578125" style="42" customWidth="1"/>
    <col min="11787" max="11787" width="8.28515625" style="42" customWidth="1"/>
    <col min="11788" max="11789" width="11.42578125" style="42" customWidth="1"/>
    <col min="11790" max="11790" width="13.5703125" style="42" customWidth="1"/>
    <col min="11791" max="11791" width="8" style="42" customWidth="1"/>
    <col min="11792" max="11792" width="11.42578125" style="42" customWidth="1"/>
    <col min="11793" max="11793" width="11.7109375" style="42" customWidth="1"/>
    <col min="11794" max="11794" width="13.42578125" style="42" customWidth="1"/>
    <col min="11795" max="11795" width="10.7109375" style="42" customWidth="1"/>
    <col min="11796" max="11796" width="11.42578125" style="42" customWidth="1"/>
    <col min="11797" max="11797" width="13" style="42" customWidth="1"/>
    <col min="11798" max="11798" width="17.85546875" style="42" customWidth="1"/>
    <col min="11799" max="12032" width="8.85546875" style="42"/>
    <col min="12033" max="12033" width="6.7109375" style="42" customWidth="1"/>
    <col min="12034" max="12034" width="32.85546875" style="42" customWidth="1"/>
    <col min="12035" max="12035" width="12.42578125" style="42" customWidth="1"/>
    <col min="12036" max="12036" width="13.42578125" style="42" customWidth="1"/>
    <col min="12037" max="12038" width="12.85546875" style="42" customWidth="1"/>
    <col min="12039" max="12039" width="8.7109375" style="42" customWidth="1"/>
    <col min="12040" max="12040" width="13.140625" style="42" customWidth="1"/>
    <col min="12041" max="12041" width="11.28515625" style="42" customWidth="1"/>
    <col min="12042" max="12042" width="13.42578125" style="42" customWidth="1"/>
    <col min="12043" max="12043" width="8.28515625" style="42" customWidth="1"/>
    <col min="12044" max="12045" width="11.42578125" style="42" customWidth="1"/>
    <col min="12046" max="12046" width="13.5703125" style="42" customWidth="1"/>
    <col min="12047" max="12047" width="8" style="42" customWidth="1"/>
    <col min="12048" max="12048" width="11.42578125" style="42" customWidth="1"/>
    <col min="12049" max="12049" width="11.7109375" style="42" customWidth="1"/>
    <col min="12050" max="12050" width="13.42578125" style="42" customWidth="1"/>
    <col min="12051" max="12051" width="10.7109375" style="42" customWidth="1"/>
    <col min="12052" max="12052" width="11.42578125" style="42" customWidth="1"/>
    <col min="12053" max="12053" width="13" style="42" customWidth="1"/>
    <col min="12054" max="12054" width="17.85546875" style="42" customWidth="1"/>
    <col min="12055" max="12288" width="8.85546875" style="42"/>
    <col min="12289" max="12289" width="6.7109375" style="42" customWidth="1"/>
    <col min="12290" max="12290" width="32.85546875" style="42" customWidth="1"/>
    <col min="12291" max="12291" width="12.42578125" style="42" customWidth="1"/>
    <col min="12292" max="12292" width="13.42578125" style="42" customWidth="1"/>
    <col min="12293" max="12294" width="12.85546875" style="42" customWidth="1"/>
    <col min="12295" max="12295" width="8.7109375" style="42" customWidth="1"/>
    <col min="12296" max="12296" width="13.140625" style="42" customWidth="1"/>
    <col min="12297" max="12297" width="11.28515625" style="42" customWidth="1"/>
    <col min="12298" max="12298" width="13.42578125" style="42" customWidth="1"/>
    <col min="12299" max="12299" width="8.28515625" style="42" customWidth="1"/>
    <col min="12300" max="12301" width="11.42578125" style="42" customWidth="1"/>
    <col min="12302" max="12302" width="13.5703125" style="42" customWidth="1"/>
    <col min="12303" max="12303" width="8" style="42" customWidth="1"/>
    <col min="12304" max="12304" width="11.42578125" style="42" customWidth="1"/>
    <col min="12305" max="12305" width="11.7109375" style="42" customWidth="1"/>
    <col min="12306" max="12306" width="13.42578125" style="42" customWidth="1"/>
    <col min="12307" max="12307" width="10.7109375" style="42" customWidth="1"/>
    <col min="12308" max="12308" width="11.42578125" style="42" customWidth="1"/>
    <col min="12309" max="12309" width="13" style="42" customWidth="1"/>
    <col min="12310" max="12310" width="17.85546875" style="42" customWidth="1"/>
    <col min="12311" max="12544" width="8.85546875" style="42"/>
    <col min="12545" max="12545" width="6.7109375" style="42" customWidth="1"/>
    <col min="12546" max="12546" width="32.85546875" style="42" customWidth="1"/>
    <col min="12547" max="12547" width="12.42578125" style="42" customWidth="1"/>
    <col min="12548" max="12548" width="13.42578125" style="42" customWidth="1"/>
    <col min="12549" max="12550" width="12.85546875" style="42" customWidth="1"/>
    <col min="12551" max="12551" width="8.7109375" style="42" customWidth="1"/>
    <col min="12552" max="12552" width="13.140625" style="42" customWidth="1"/>
    <col min="12553" max="12553" width="11.28515625" style="42" customWidth="1"/>
    <col min="12554" max="12554" width="13.42578125" style="42" customWidth="1"/>
    <col min="12555" max="12555" width="8.28515625" style="42" customWidth="1"/>
    <col min="12556" max="12557" width="11.42578125" style="42" customWidth="1"/>
    <col min="12558" max="12558" width="13.5703125" style="42" customWidth="1"/>
    <col min="12559" max="12559" width="8" style="42" customWidth="1"/>
    <col min="12560" max="12560" width="11.42578125" style="42" customWidth="1"/>
    <col min="12561" max="12561" width="11.7109375" style="42" customWidth="1"/>
    <col min="12562" max="12562" width="13.42578125" style="42" customWidth="1"/>
    <col min="12563" max="12563" width="10.7109375" style="42" customWidth="1"/>
    <col min="12564" max="12564" width="11.42578125" style="42" customWidth="1"/>
    <col min="12565" max="12565" width="13" style="42" customWidth="1"/>
    <col min="12566" max="12566" width="17.85546875" style="42" customWidth="1"/>
    <col min="12567" max="12800" width="8.85546875" style="42"/>
    <col min="12801" max="12801" width="6.7109375" style="42" customWidth="1"/>
    <col min="12802" max="12802" width="32.85546875" style="42" customWidth="1"/>
    <col min="12803" max="12803" width="12.42578125" style="42" customWidth="1"/>
    <col min="12804" max="12804" width="13.42578125" style="42" customWidth="1"/>
    <col min="12805" max="12806" width="12.85546875" style="42" customWidth="1"/>
    <col min="12807" max="12807" width="8.7109375" style="42" customWidth="1"/>
    <col min="12808" max="12808" width="13.140625" style="42" customWidth="1"/>
    <col min="12809" max="12809" width="11.28515625" style="42" customWidth="1"/>
    <col min="12810" max="12810" width="13.42578125" style="42" customWidth="1"/>
    <col min="12811" max="12811" width="8.28515625" style="42" customWidth="1"/>
    <col min="12812" max="12813" width="11.42578125" style="42" customWidth="1"/>
    <col min="12814" max="12814" width="13.5703125" style="42" customWidth="1"/>
    <col min="12815" max="12815" width="8" style="42" customWidth="1"/>
    <col min="12816" max="12816" width="11.42578125" style="42" customWidth="1"/>
    <col min="12817" max="12817" width="11.7109375" style="42" customWidth="1"/>
    <col min="12818" max="12818" width="13.42578125" style="42" customWidth="1"/>
    <col min="12819" max="12819" width="10.7109375" style="42" customWidth="1"/>
    <col min="12820" max="12820" width="11.42578125" style="42" customWidth="1"/>
    <col min="12821" max="12821" width="13" style="42" customWidth="1"/>
    <col min="12822" max="12822" width="17.85546875" style="42" customWidth="1"/>
    <col min="12823" max="13056" width="8.85546875" style="42"/>
    <col min="13057" max="13057" width="6.7109375" style="42" customWidth="1"/>
    <col min="13058" max="13058" width="32.85546875" style="42" customWidth="1"/>
    <col min="13059" max="13059" width="12.42578125" style="42" customWidth="1"/>
    <col min="13060" max="13060" width="13.42578125" style="42" customWidth="1"/>
    <col min="13061" max="13062" width="12.85546875" style="42" customWidth="1"/>
    <col min="13063" max="13063" width="8.7109375" style="42" customWidth="1"/>
    <col min="13064" max="13064" width="13.140625" style="42" customWidth="1"/>
    <col min="13065" max="13065" width="11.28515625" style="42" customWidth="1"/>
    <col min="13066" max="13066" width="13.42578125" style="42" customWidth="1"/>
    <col min="13067" max="13067" width="8.28515625" style="42" customWidth="1"/>
    <col min="13068" max="13069" width="11.42578125" style="42" customWidth="1"/>
    <col min="13070" max="13070" width="13.5703125" style="42" customWidth="1"/>
    <col min="13071" max="13071" width="8" style="42" customWidth="1"/>
    <col min="13072" max="13072" width="11.42578125" style="42" customWidth="1"/>
    <col min="13073" max="13073" width="11.7109375" style="42" customWidth="1"/>
    <col min="13074" max="13074" width="13.42578125" style="42" customWidth="1"/>
    <col min="13075" max="13075" width="10.7109375" style="42" customWidth="1"/>
    <col min="13076" max="13076" width="11.42578125" style="42" customWidth="1"/>
    <col min="13077" max="13077" width="13" style="42" customWidth="1"/>
    <col min="13078" max="13078" width="17.85546875" style="42" customWidth="1"/>
    <col min="13079" max="13312" width="8.85546875" style="42"/>
    <col min="13313" max="13313" width="6.7109375" style="42" customWidth="1"/>
    <col min="13314" max="13314" width="32.85546875" style="42" customWidth="1"/>
    <col min="13315" max="13315" width="12.42578125" style="42" customWidth="1"/>
    <col min="13316" max="13316" width="13.42578125" style="42" customWidth="1"/>
    <col min="13317" max="13318" width="12.85546875" style="42" customWidth="1"/>
    <col min="13319" max="13319" width="8.7109375" style="42" customWidth="1"/>
    <col min="13320" max="13320" width="13.140625" style="42" customWidth="1"/>
    <col min="13321" max="13321" width="11.28515625" style="42" customWidth="1"/>
    <col min="13322" max="13322" width="13.42578125" style="42" customWidth="1"/>
    <col min="13323" max="13323" width="8.28515625" style="42" customWidth="1"/>
    <col min="13324" max="13325" width="11.42578125" style="42" customWidth="1"/>
    <col min="13326" max="13326" width="13.5703125" style="42" customWidth="1"/>
    <col min="13327" max="13327" width="8" style="42" customWidth="1"/>
    <col min="13328" max="13328" width="11.42578125" style="42" customWidth="1"/>
    <col min="13329" max="13329" width="11.7109375" style="42" customWidth="1"/>
    <col min="13330" max="13330" width="13.42578125" style="42" customWidth="1"/>
    <col min="13331" max="13331" width="10.7109375" style="42" customWidth="1"/>
    <col min="13332" max="13332" width="11.42578125" style="42" customWidth="1"/>
    <col min="13333" max="13333" width="13" style="42" customWidth="1"/>
    <col min="13334" max="13334" width="17.85546875" style="42" customWidth="1"/>
    <col min="13335" max="13568" width="8.85546875" style="42"/>
    <col min="13569" max="13569" width="6.7109375" style="42" customWidth="1"/>
    <col min="13570" max="13570" width="32.85546875" style="42" customWidth="1"/>
    <col min="13571" max="13571" width="12.42578125" style="42" customWidth="1"/>
    <col min="13572" max="13572" width="13.42578125" style="42" customWidth="1"/>
    <col min="13573" max="13574" width="12.85546875" style="42" customWidth="1"/>
    <col min="13575" max="13575" width="8.7109375" style="42" customWidth="1"/>
    <col min="13576" max="13576" width="13.140625" style="42" customWidth="1"/>
    <col min="13577" max="13577" width="11.28515625" style="42" customWidth="1"/>
    <col min="13578" max="13578" width="13.42578125" style="42" customWidth="1"/>
    <col min="13579" max="13579" width="8.28515625" style="42" customWidth="1"/>
    <col min="13580" max="13581" width="11.42578125" style="42" customWidth="1"/>
    <col min="13582" max="13582" width="13.5703125" style="42" customWidth="1"/>
    <col min="13583" max="13583" width="8" style="42" customWidth="1"/>
    <col min="13584" max="13584" width="11.42578125" style="42" customWidth="1"/>
    <col min="13585" max="13585" width="11.7109375" style="42" customWidth="1"/>
    <col min="13586" max="13586" width="13.42578125" style="42" customWidth="1"/>
    <col min="13587" max="13587" width="10.7109375" style="42" customWidth="1"/>
    <col min="13588" max="13588" width="11.42578125" style="42" customWidth="1"/>
    <col min="13589" max="13589" width="13" style="42" customWidth="1"/>
    <col min="13590" max="13590" width="17.85546875" style="42" customWidth="1"/>
    <col min="13591" max="13824" width="8.85546875" style="42"/>
    <col min="13825" max="13825" width="6.7109375" style="42" customWidth="1"/>
    <col min="13826" max="13826" width="32.85546875" style="42" customWidth="1"/>
    <col min="13827" max="13827" width="12.42578125" style="42" customWidth="1"/>
    <col min="13828" max="13828" width="13.42578125" style="42" customWidth="1"/>
    <col min="13829" max="13830" width="12.85546875" style="42" customWidth="1"/>
    <col min="13831" max="13831" width="8.7109375" style="42" customWidth="1"/>
    <col min="13832" max="13832" width="13.140625" style="42" customWidth="1"/>
    <col min="13833" max="13833" width="11.28515625" style="42" customWidth="1"/>
    <col min="13834" max="13834" width="13.42578125" style="42" customWidth="1"/>
    <col min="13835" max="13835" width="8.28515625" style="42" customWidth="1"/>
    <col min="13836" max="13837" width="11.42578125" style="42" customWidth="1"/>
    <col min="13838" max="13838" width="13.5703125" style="42" customWidth="1"/>
    <col min="13839" max="13839" width="8" style="42" customWidth="1"/>
    <col min="13840" max="13840" width="11.42578125" style="42" customWidth="1"/>
    <col min="13841" max="13841" width="11.7109375" style="42" customWidth="1"/>
    <col min="13842" max="13842" width="13.42578125" style="42" customWidth="1"/>
    <col min="13843" max="13843" width="10.7109375" style="42" customWidth="1"/>
    <col min="13844" max="13844" width="11.42578125" style="42" customWidth="1"/>
    <col min="13845" max="13845" width="13" style="42" customWidth="1"/>
    <col min="13846" max="13846" width="17.85546875" style="42" customWidth="1"/>
    <col min="13847" max="14080" width="8.85546875" style="42"/>
    <col min="14081" max="14081" width="6.7109375" style="42" customWidth="1"/>
    <col min="14082" max="14082" width="32.85546875" style="42" customWidth="1"/>
    <col min="14083" max="14083" width="12.42578125" style="42" customWidth="1"/>
    <col min="14084" max="14084" width="13.42578125" style="42" customWidth="1"/>
    <col min="14085" max="14086" width="12.85546875" style="42" customWidth="1"/>
    <col min="14087" max="14087" width="8.7109375" style="42" customWidth="1"/>
    <col min="14088" max="14088" width="13.140625" style="42" customWidth="1"/>
    <col min="14089" max="14089" width="11.28515625" style="42" customWidth="1"/>
    <col min="14090" max="14090" width="13.42578125" style="42" customWidth="1"/>
    <col min="14091" max="14091" width="8.28515625" style="42" customWidth="1"/>
    <col min="14092" max="14093" width="11.42578125" style="42" customWidth="1"/>
    <col min="14094" max="14094" width="13.5703125" style="42" customWidth="1"/>
    <col min="14095" max="14095" width="8" style="42" customWidth="1"/>
    <col min="14096" max="14096" width="11.42578125" style="42" customWidth="1"/>
    <col min="14097" max="14097" width="11.7109375" style="42" customWidth="1"/>
    <col min="14098" max="14098" width="13.42578125" style="42" customWidth="1"/>
    <col min="14099" max="14099" width="10.7109375" style="42" customWidth="1"/>
    <col min="14100" max="14100" width="11.42578125" style="42" customWidth="1"/>
    <col min="14101" max="14101" width="13" style="42" customWidth="1"/>
    <col min="14102" max="14102" width="17.85546875" style="42" customWidth="1"/>
    <col min="14103" max="14336" width="8.85546875" style="42"/>
    <col min="14337" max="14337" width="6.7109375" style="42" customWidth="1"/>
    <col min="14338" max="14338" width="32.85546875" style="42" customWidth="1"/>
    <col min="14339" max="14339" width="12.42578125" style="42" customWidth="1"/>
    <col min="14340" max="14340" width="13.42578125" style="42" customWidth="1"/>
    <col min="14341" max="14342" width="12.85546875" style="42" customWidth="1"/>
    <col min="14343" max="14343" width="8.7109375" style="42" customWidth="1"/>
    <col min="14344" max="14344" width="13.140625" style="42" customWidth="1"/>
    <col min="14345" max="14345" width="11.28515625" style="42" customWidth="1"/>
    <col min="14346" max="14346" width="13.42578125" style="42" customWidth="1"/>
    <col min="14347" max="14347" width="8.28515625" style="42" customWidth="1"/>
    <col min="14348" max="14349" width="11.42578125" style="42" customWidth="1"/>
    <col min="14350" max="14350" width="13.5703125" style="42" customWidth="1"/>
    <col min="14351" max="14351" width="8" style="42" customWidth="1"/>
    <col min="14352" max="14352" width="11.42578125" style="42" customWidth="1"/>
    <col min="14353" max="14353" width="11.7109375" style="42" customWidth="1"/>
    <col min="14354" max="14354" width="13.42578125" style="42" customWidth="1"/>
    <col min="14355" max="14355" width="10.7109375" style="42" customWidth="1"/>
    <col min="14356" max="14356" width="11.42578125" style="42" customWidth="1"/>
    <col min="14357" max="14357" width="13" style="42" customWidth="1"/>
    <col min="14358" max="14358" width="17.85546875" style="42" customWidth="1"/>
    <col min="14359" max="14592" width="8.85546875" style="42"/>
    <col min="14593" max="14593" width="6.7109375" style="42" customWidth="1"/>
    <col min="14594" max="14594" width="32.85546875" style="42" customWidth="1"/>
    <col min="14595" max="14595" width="12.42578125" style="42" customWidth="1"/>
    <col min="14596" max="14596" width="13.42578125" style="42" customWidth="1"/>
    <col min="14597" max="14598" width="12.85546875" style="42" customWidth="1"/>
    <col min="14599" max="14599" width="8.7109375" style="42" customWidth="1"/>
    <col min="14600" max="14600" width="13.140625" style="42" customWidth="1"/>
    <col min="14601" max="14601" width="11.28515625" style="42" customWidth="1"/>
    <col min="14602" max="14602" width="13.42578125" style="42" customWidth="1"/>
    <col min="14603" max="14603" width="8.28515625" style="42" customWidth="1"/>
    <col min="14604" max="14605" width="11.42578125" style="42" customWidth="1"/>
    <col min="14606" max="14606" width="13.5703125" style="42" customWidth="1"/>
    <col min="14607" max="14607" width="8" style="42" customWidth="1"/>
    <col min="14608" max="14608" width="11.42578125" style="42" customWidth="1"/>
    <col min="14609" max="14609" width="11.7109375" style="42" customWidth="1"/>
    <col min="14610" max="14610" width="13.42578125" style="42" customWidth="1"/>
    <col min="14611" max="14611" width="10.7109375" style="42" customWidth="1"/>
    <col min="14612" max="14612" width="11.42578125" style="42" customWidth="1"/>
    <col min="14613" max="14613" width="13" style="42" customWidth="1"/>
    <col min="14614" max="14614" width="17.85546875" style="42" customWidth="1"/>
    <col min="14615" max="14848" width="8.85546875" style="42"/>
    <col min="14849" max="14849" width="6.7109375" style="42" customWidth="1"/>
    <col min="14850" max="14850" width="32.85546875" style="42" customWidth="1"/>
    <col min="14851" max="14851" width="12.42578125" style="42" customWidth="1"/>
    <col min="14852" max="14852" width="13.42578125" style="42" customWidth="1"/>
    <col min="14853" max="14854" width="12.85546875" style="42" customWidth="1"/>
    <col min="14855" max="14855" width="8.7109375" style="42" customWidth="1"/>
    <col min="14856" max="14856" width="13.140625" style="42" customWidth="1"/>
    <col min="14857" max="14857" width="11.28515625" style="42" customWidth="1"/>
    <col min="14858" max="14858" width="13.42578125" style="42" customWidth="1"/>
    <col min="14859" max="14859" width="8.28515625" style="42" customWidth="1"/>
    <col min="14860" max="14861" width="11.42578125" style="42" customWidth="1"/>
    <col min="14862" max="14862" width="13.5703125" style="42" customWidth="1"/>
    <col min="14863" max="14863" width="8" style="42" customWidth="1"/>
    <col min="14864" max="14864" width="11.42578125" style="42" customWidth="1"/>
    <col min="14865" max="14865" width="11.7109375" style="42" customWidth="1"/>
    <col min="14866" max="14866" width="13.42578125" style="42" customWidth="1"/>
    <col min="14867" max="14867" width="10.7109375" style="42" customWidth="1"/>
    <col min="14868" max="14868" width="11.42578125" style="42" customWidth="1"/>
    <col min="14869" max="14869" width="13" style="42" customWidth="1"/>
    <col min="14870" max="14870" width="17.85546875" style="42" customWidth="1"/>
    <col min="14871" max="15104" width="8.85546875" style="42"/>
    <col min="15105" max="15105" width="6.7109375" style="42" customWidth="1"/>
    <col min="15106" max="15106" width="32.85546875" style="42" customWidth="1"/>
    <col min="15107" max="15107" width="12.42578125" style="42" customWidth="1"/>
    <col min="15108" max="15108" width="13.42578125" style="42" customWidth="1"/>
    <col min="15109" max="15110" width="12.85546875" style="42" customWidth="1"/>
    <col min="15111" max="15111" width="8.7109375" style="42" customWidth="1"/>
    <col min="15112" max="15112" width="13.140625" style="42" customWidth="1"/>
    <col min="15113" max="15113" width="11.28515625" style="42" customWidth="1"/>
    <col min="15114" max="15114" width="13.42578125" style="42" customWidth="1"/>
    <col min="15115" max="15115" width="8.28515625" style="42" customWidth="1"/>
    <col min="15116" max="15117" width="11.42578125" style="42" customWidth="1"/>
    <col min="15118" max="15118" width="13.5703125" style="42" customWidth="1"/>
    <col min="15119" max="15119" width="8" style="42" customWidth="1"/>
    <col min="15120" max="15120" width="11.42578125" style="42" customWidth="1"/>
    <col min="15121" max="15121" width="11.7109375" style="42" customWidth="1"/>
    <col min="15122" max="15122" width="13.42578125" style="42" customWidth="1"/>
    <col min="15123" max="15123" width="10.7109375" style="42" customWidth="1"/>
    <col min="15124" max="15124" width="11.42578125" style="42" customWidth="1"/>
    <col min="15125" max="15125" width="13" style="42" customWidth="1"/>
    <col min="15126" max="15126" width="17.85546875" style="42" customWidth="1"/>
    <col min="15127" max="15360" width="8.85546875" style="42"/>
    <col min="15361" max="15361" width="6.7109375" style="42" customWidth="1"/>
    <col min="15362" max="15362" width="32.85546875" style="42" customWidth="1"/>
    <col min="15363" max="15363" width="12.42578125" style="42" customWidth="1"/>
    <col min="15364" max="15364" width="13.42578125" style="42" customWidth="1"/>
    <col min="15365" max="15366" width="12.85546875" style="42" customWidth="1"/>
    <col min="15367" max="15367" width="8.7109375" style="42" customWidth="1"/>
    <col min="15368" max="15368" width="13.140625" style="42" customWidth="1"/>
    <col min="15369" max="15369" width="11.28515625" style="42" customWidth="1"/>
    <col min="15370" max="15370" width="13.42578125" style="42" customWidth="1"/>
    <col min="15371" max="15371" width="8.28515625" style="42" customWidth="1"/>
    <col min="15372" max="15373" width="11.42578125" style="42" customWidth="1"/>
    <col min="15374" max="15374" width="13.5703125" style="42" customWidth="1"/>
    <col min="15375" max="15375" width="8" style="42" customWidth="1"/>
    <col min="15376" max="15376" width="11.42578125" style="42" customWidth="1"/>
    <col min="15377" max="15377" width="11.7109375" style="42" customWidth="1"/>
    <col min="15378" max="15378" width="13.42578125" style="42" customWidth="1"/>
    <col min="15379" max="15379" width="10.7109375" style="42" customWidth="1"/>
    <col min="15380" max="15380" width="11.42578125" style="42" customWidth="1"/>
    <col min="15381" max="15381" width="13" style="42" customWidth="1"/>
    <col min="15382" max="15382" width="17.85546875" style="42" customWidth="1"/>
    <col min="15383" max="15616" width="8.85546875" style="42"/>
    <col min="15617" max="15617" width="6.7109375" style="42" customWidth="1"/>
    <col min="15618" max="15618" width="32.85546875" style="42" customWidth="1"/>
    <col min="15619" max="15619" width="12.42578125" style="42" customWidth="1"/>
    <col min="15620" max="15620" width="13.42578125" style="42" customWidth="1"/>
    <col min="15621" max="15622" width="12.85546875" style="42" customWidth="1"/>
    <col min="15623" max="15623" width="8.7109375" style="42" customWidth="1"/>
    <col min="15624" max="15624" width="13.140625" style="42" customWidth="1"/>
    <col min="15625" max="15625" width="11.28515625" style="42" customWidth="1"/>
    <col min="15626" max="15626" width="13.42578125" style="42" customWidth="1"/>
    <col min="15627" max="15627" width="8.28515625" style="42" customWidth="1"/>
    <col min="15628" max="15629" width="11.42578125" style="42" customWidth="1"/>
    <col min="15630" max="15630" width="13.5703125" style="42" customWidth="1"/>
    <col min="15631" max="15631" width="8" style="42" customWidth="1"/>
    <col min="15632" max="15632" width="11.42578125" style="42" customWidth="1"/>
    <col min="15633" max="15633" width="11.7109375" style="42" customWidth="1"/>
    <col min="15634" max="15634" width="13.42578125" style="42" customWidth="1"/>
    <col min="15635" max="15635" width="10.7109375" style="42" customWidth="1"/>
    <col min="15636" max="15636" width="11.42578125" style="42" customWidth="1"/>
    <col min="15637" max="15637" width="13" style="42" customWidth="1"/>
    <col min="15638" max="15638" width="17.85546875" style="42" customWidth="1"/>
    <col min="15639" max="15872" width="8.85546875" style="42"/>
    <col min="15873" max="15873" width="6.7109375" style="42" customWidth="1"/>
    <col min="15874" max="15874" width="32.85546875" style="42" customWidth="1"/>
    <col min="15875" max="15875" width="12.42578125" style="42" customWidth="1"/>
    <col min="15876" max="15876" width="13.42578125" style="42" customWidth="1"/>
    <col min="15877" max="15878" width="12.85546875" style="42" customWidth="1"/>
    <col min="15879" max="15879" width="8.7109375" style="42" customWidth="1"/>
    <col min="15880" max="15880" width="13.140625" style="42" customWidth="1"/>
    <col min="15881" max="15881" width="11.28515625" style="42" customWidth="1"/>
    <col min="15882" max="15882" width="13.42578125" style="42" customWidth="1"/>
    <col min="15883" max="15883" width="8.28515625" style="42" customWidth="1"/>
    <col min="15884" max="15885" width="11.42578125" style="42" customWidth="1"/>
    <col min="15886" max="15886" width="13.5703125" style="42" customWidth="1"/>
    <col min="15887" max="15887" width="8" style="42" customWidth="1"/>
    <col min="15888" max="15888" width="11.42578125" style="42" customWidth="1"/>
    <col min="15889" max="15889" width="11.7109375" style="42" customWidth="1"/>
    <col min="15890" max="15890" width="13.42578125" style="42" customWidth="1"/>
    <col min="15891" max="15891" width="10.7109375" style="42" customWidth="1"/>
    <col min="15892" max="15892" width="11.42578125" style="42" customWidth="1"/>
    <col min="15893" max="15893" width="13" style="42" customWidth="1"/>
    <col min="15894" max="15894" width="17.85546875" style="42" customWidth="1"/>
    <col min="15895" max="16128" width="8.85546875" style="42"/>
    <col min="16129" max="16129" width="6.7109375" style="42" customWidth="1"/>
    <col min="16130" max="16130" width="32.85546875" style="42" customWidth="1"/>
    <col min="16131" max="16131" width="12.42578125" style="42" customWidth="1"/>
    <col min="16132" max="16132" width="13.42578125" style="42" customWidth="1"/>
    <col min="16133" max="16134" width="12.85546875" style="42" customWidth="1"/>
    <col min="16135" max="16135" width="8.7109375" style="42" customWidth="1"/>
    <col min="16136" max="16136" width="13.140625" style="42" customWidth="1"/>
    <col min="16137" max="16137" width="11.28515625" style="42" customWidth="1"/>
    <col min="16138" max="16138" width="13.42578125" style="42" customWidth="1"/>
    <col min="16139" max="16139" width="8.28515625" style="42" customWidth="1"/>
    <col min="16140" max="16141" width="11.42578125" style="42" customWidth="1"/>
    <col min="16142" max="16142" width="13.5703125" style="42" customWidth="1"/>
    <col min="16143" max="16143" width="8" style="42" customWidth="1"/>
    <col min="16144" max="16144" width="11.42578125" style="42" customWidth="1"/>
    <col min="16145" max="16145" width="11.7109375" style="42" customWidth="1"/>
    <col min="16146" max="16146" width="13.42578125" style="42" customWidth="1"/>
    <col min="16147" max="16147" width="10.7109375" style="42" customWidth="1"/>
    <col min="16148" max="16148" width="11.42578125" style="42" customWidth="1"/>
    <col min="16149" max="16149" width="13" style="42" customWidth="1"/>
    <col min="16150" max="16150" width="17.85546875" style="42" customWidth="1"/>
    <col min="16151" max="16384" width="8.85546875" style="42"/>
  </cols>
  <sheetData>
    <row r="1" spans="1:22" ht="18" customHeight="1">
      <c r="L1" s="43"/>
      <c r="M1" s="43"/>
      <c r="P1" s="311" t="s">
        <v>66</v>
      </c>
      <c r="Q1" s="311"/>
    </row>
    <row r="2" spans="1:22" ht="20.25" customHeight="1">
      <c r="L2" s="43"/>
      <c r="M2" s="43"/>
      <c r="N2" s="311" t="s">
        <v>67</v>
      </c>
      <c r="O2" s="311"/>
      <c r="P2" s="311"/>
      <c r="Q2" s="311"/>
    </row>
    <row r="3" spans="1:22" ht="21" customHeight="1">
      <c r="L3" s="43"/>
      <c r="M3" s="43"/>
      <c r="N3" s="311" t="s">
        <v>68</v>
      </c>
      <c r="O3" s="311"/>
      <c r="P3" s="311"/>
      <c r="Q3" s="311"/>
    </row>
    <row r="4" spans="1:22" ht="21.75" customHeight="1">
      <c r="L4" s="43"/>
      <c r="M4" s="43"/>
      <c r="N4" s="311" t="s">
        <v>69</v>
      </c>
      <c r="O4" s="311"/>
      <c r="P4" s="311"/>
      <c r="Q4" s="311"/>
    </row>
    <row r="5" spans="1:22" ht="20.25" customHeight="1">
      <c r="L5" s="43"/>
      <c r="M5" s="43"/>
      <c r="N5" s="311" t="s">
        <v>70</v>
      </c>
      <c r="O5" s="311"/>
      <c r="P5" s="311"/>
      <c r="Q5" s="311"/>
    </row>
    <row r="6" spans="1:22" ht="16.5" customHeight="1">
      <c r="L6" s="43"/>
      <c r="M6" s="43"/>
    </row>
    <row r="7" spans="1:22" customFormat="1" ht="19.5" customHeight="1">
      <c r="A7" s="312" t="s">
        <v>71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44"/>
    </row>
    <row r="8" spans="1:22" customFormat="1" ht="18" customHeight="1">
      <c r="A8" s="313" t="s">
        <v>72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45"/>
    </row>
    <row r="9" spans="1:22" customFormat="1" ht="21" customHeight="1">
      <c r="A9" s="313" t="s">
        <v>73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45"/>
    </row>
    <row r="10" spans="1:22" customFormat="1" ht="45" customHeight="1">
      <c r="A10" s="322" t="s">
        <v>132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44"/>
    </row>
    <row r="11" spans="1:22" customFormat="1" ht="21.75" customHeight="1">
      <c r="A11" s="314" t="s">
        <v>539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44"/>
    </row>
    <row r="12" spans="1:22" customFormat="1" ht="21" customHeight="1">
      <c r="A12" s="315" t="s">
        <v>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46"/>
    </row>
    <row r="13" spans="1:22" customFormat="1" ht="18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46"/>
    </row>
    <row r="14" spans="1:22" customFormat="1" ht="18.75">
      <c r="A14" s="323" t="s">
        <v>453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95"/>
      <c r="R14" s="46"/>
    </row>
    <row r="15" spans="1:22" customFormat="1" ht="15.75">
      <c r="A15" s="310" t="s">
        <v>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47"/>
    </row>
    <row r="16" spans="1:22" ht="23.25" customHeight="1">
      <c r="A16" s="300" t="s">
        <v>76</v>
      </c>
      <c r="B16" s="301" t="s">
        <v>0</v>
      </c>
      <c r="C16" s="299" t="s">
        <v>77</v>
      </c>
      <c r="D16" s="300" t="s">
        <v>8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299" t="s">
        <v>12</v>
      </c>
      <c r="Q16" s="299" t="s">
        <v>13</v>
      </c>
      <c r="R16" s="48"/>
      <c r="S16" s="48"/>
      <c r="T16" s="48"/>
      <c r="U16" s="48"/>
      <c r="V16" s="49"/>
    </row>
    <row r="17" spans="1:22" ht="17.25" customHeight="1">
      <c r="A17" s="300"/>
      <c r="B17" s="302"/>
      <c r="C17" s="299"/>
      <c r="D17" s="300" t="s">
        <v>11</v>
      </c>
      <c r="E17" s="300"/>
      <c r="F17" s="300"/>
      <c r="G17" s="300"/>
      <c r="H17" s="300" t="s">
        <v>78</v>
      </c>
      <c r="I17" s="300"/>
      <c r="J17" s="300"/>
      <c r="K17" s="300"/>
      <c r="L17" s="304" t="s">
        <v>79</v>
      </c>
      <c r="M17" s="305"/>
      <c r="N17" s="305"/>
      <c r="O17" s="306"/>
      <c r="P17" s="299"/>
      <c r="Q17" s="299"/>
      <c r="R17" s="50"/>
      <c r="S17" s="50"/>
      <c r="T17" s="50"/>
      <c r="U17" s="50"/>
      <c r="V17" s="50"/>
    </row>
    <row r="18" spans="1:22" ht="21" customHeight="1">
      <c r="A18" s="300"/>
      <c r="B18" s="302"/>
      <c r="C18" s="299"/>
      <c r="D18" s="300"/>
      <c r="E18" s="300"/>
      <c r="F18" s="300"/>
      <c r="G18" s="300"/>
      <c r="H18" s="300"/>
      <c r="I18" s="300"/>
      <c r="J18" s="300"/>
      <c r="K18" s="300"/>
      <c r="L18" s="307"/>
      <c r="M18" s="308"/>
      <c r="N18" s="308"/>
      <c r="O18" s="309"/>
      <c r="P18" s="299"/>
      <c r="Q18" s="299"/>
      <c r="R18" s="50"/>
      <c r="S18" s="50"/>
      <c r="T18" s="50"/>
      <c r="U18" s="50"/>
      <c r="V18" s="50"/>
    </row>
    <row r="19" spans="1:22" ht="27" customHeight="1">
      <c r="A19" s="300"/>
      <c r="B19" s="302"/>
      <c r="C19" s="299"/>
      <c r="D19" s="297" t="s">
        <v>80</v>
      </c>
      <c r="E19" s="294" t="s">
        <v>14</v>
      </c>
      <c r="F19" s="295"/>
      <c r="G19" s="296"/>
      <c r="H19" s="297" t="s">
        <v>80</v>
      </c>
      <c r="I19" s="294" t="s">
        <v>14</v>
      </c>
      <c r="J19" s="295"/>
      <c r="K19" s="296"/>
      <c r="L19" s="297" t="s">
        <v>80</v>
      </c>
      <c r="M19" s="294" t="s">
        <v>14</v>
      </c>
      <c r="N19" s="295"/>
      <c r="O19" s="296"/>
      <c r="P19" s="299"/>
      <c r="Q19" s="299"/>
      <c r="R19" s="50"/>
      <c r="S19" s="50"/>
      <c r="T19" s="50"/>
      <c r="U19" s="50"/>
      <c r="V19" s="50"/>
    </row>
    <row r="20" spans="1:22" ht="47.25">
      <c r="A20" s="300"/>
      <c r="B20" s="303"/>
      <c r="C20" s="299"/>
      <c r="D20" s="298"/>
      <c r="E20" s="51" t="s">
        <v>4</v>
      </c>
      <c r="F20" s="51" t="s">
        <v>1</v>
      </c>
      <c r="G20" s="255" t="s">
        <v>15</v>
      </c>
      <c r="H20" s="298"/>
      <c r="I20" s="51" t="s">
        <v>4</v>
      </c>
      <c r="J20" s="51" t="s">
        <v>1</v>
      </c>
      <c r="K20" s="255" t="s">
        <v>15</v>
      </c>
      <c r="L20" s="298"/>
      <c r="M20" s="51" t="s">
        <v>4</v>
      </c>
      <c r="N20" s="51" t="s">
        <v>1</v>
      </c>
      <c r="O20" s="255" t="s">
        <v>15</v>
      </c>
      <c r="P20" s="299"/>
      <c r="Q20" s="299"/>
      <c r="R20" s="49"/>
      <c r="S20" s="48"/>
      <c r="T20" s="48"/>
      <c r="U20" s="48"/>
      <c r="V20" s="48"/>
    </row>
    <row r="21" spans="1:22" s="54" customFormat="1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2">
        <v>7</v>
      </c>
      <c r="H21" s="52">
        <v>8</v>
      </c>
      <c r="I21" s="52">
        <v>9</v>
      </c>
      <c r="J21" s="52">
        <v>10</v>
      </c>
      <c r="K21" s="52">
        <v>11</v>
      </c>
      <c r="L21" s="52">
        <v>12</v>
      </c>
      <c r="M21" s="52">
        <v>13</v>
      </c>
      <c r="N21" s="52">
        <v>14</v>
      </c>
      <c r="O21" s="52">
        <v>15</v>
      </c>
      <c r="P21" s="52">
        <v>16</v>
      </c>
      <c r="Q21" s="52">
        <v>17</v>
      </c>
      <c r="R21" s="53"/>
    </row>
    <row r="22" spans="1:22" s="57" customFormat="1" ht="22.5" customHeight="1">
      <c r="A22" s="55"/>
      <c r="B22" s="289" t="s">
        <v>57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56"/>
    </row>
    <row r="23" spans="1:22" s="57" customFormat="1" ht="110.25" hidden="1" customHeight="1">
      <c r="A23" s="58" t="s">
        <v>133</v>
      </c>
      <c r="B23" s="59" t="s">
        <v>134</v>
      </c>
      <c r="C23" s="96">
        <f>C24+C25</f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</v>
      </c>
      <c r="Q23" s="98">
        <v>0</v>
      </c>
      <c r="R23" s="56"/>
    </row>
    <row r="24" spans="1:22" s="57" customFormat="1" ht="96.75" hidden="1" customHeight="1">
      <c r="A24" s="62" t="s">
        <v>18</v>
      </c>
      <c r="B24" s="72" t="s">
        <v>135</v>
      </c>
      <c r="C24" s="99">
        <v>0</v>
      </c>
      <c r="D24" s="99">
        <v>0</v>
      </c>
      <c r="E24" s="99">
        <f t="shared" ref="E24:O24" si="0">SUM(E27:E31)</f>
        <v>84980</v>
      </c>
      <c r="F24" s="99">
        <v>0</v>
      </c>
      <c r="G24" s="99">
        <f t="shared" si="0"/>
        <v>0</v>
      </c>
      <c r="H24" s="99">
        <f>I24+J24+K24</f>
        <v>84402.4</v>
      </c>
      <c r="I24" s="99">
        <f t="shared" si="0"/>
        <v>84402.4</v>
      </c>
      <c r="J24" s="99">
        <v>0</v>
      </c>
      <c r="K24" s="99">
        <f t="shared" si="0"/>
        <v>0</v>
      </c>
      <c r="L24" s="99">
        <f>M24+N24+O24</f>
        <v>84402.4</v>
      </c>
      <c r="M24" s="99">
        <f t="shared" si="0"/>
        <v>84402.4</v>
      </c>
      <c r="N24" s="99">
        <v>0</v>
      </c>
      <c r="O24" s="99">
        <f t="shared" si="0"/>
        <v>0</v>
      </c>
      <c r="P24" s="100">
        <v>0</v>
      </c>
      <c r="Q24" s="101">
        <v>0</v>
      </c>
      <c r="R24" s="56"/>
    </row>
    <row r="25" spans="1:22" s="57" customFormat="1" ht="96.75" hidden="1" customHeight="1">
      <c r="A25" s="62" t="s">
        <v>84</v>
      </c>
      <c r="B25" s="72" t="s">
        <v>136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100">
        <v>0</v>
      </c>
      <c r="Q25" s="101">
        <v>0</v>
      </c>
      <c r="R25" s="56"/>
    </row>
    <row r="26" spans="1:22" s="57" customFormat="1" ht="96.75" hidden="1" customHeight="1">
      <c r="A26" s="62"/>
      <c r="B26" s="72" t="s">
        <v>137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100">
        <v>0</v>
      </c>
      <c r="Q26" s="101">
        <v>0</v>
      </c>
      <c r="R26" s="56"/>
    </row>
    <row r="27" spans="1:22" s="57" customFormat="1" ht="89.25" customHeight="1">
      <c r="A27" s="74" t="s">
        <v>16</v>
      </c>
      <c r="B27" s="75" t="s">
        <v>138</v>
      </c>
      <c r="C27" s="102">
        <f>C28</f>
        <v>17497.7</v>
      </c>
      <c r="D27" s="102">
        <f t="shared" ref="D27:O27" si="1">D28</f>
        <v>17497.7</v>
      </c>
      <c r="E27" s="102">
        <f t="shared" si="1"/>
        <v>16972.8</v>
      </c>
      <c r="F27" s="102">
        <f t="shared" si="1"/>
        <v>524.9</v>
      </c>
      <c r="G27" s="102">
        <f t="shared" si="1"/>
        <v>0</v>
      </c>
      <c r="H27" s="102">
        <f t="shared" si="1"/>
        <v>17497.7</v>
      </c>
      <c r="I27" s="102">
        <f t="shared" si="1"/>
        <v>16972.8</v>
      </c>
      <c r="J27" s="102">
        <f t="shared" si="1"/>
        <v>524.9</v>
      </c>
      <c r="K27" s="102">
        <f t="shared" si="1"/>
        <v>0</v>
      </c>
      <c r="L27" s="102">
        <f t="shared" si="1"/>
        <v>17497.7</v>
      </c>
      <c r="M27" s="102">
        <f t="shared" si="1"/>
        <v>16972.8</v>
      </c>
      <c r="N27" s="102">
        <f t="shared" si="1"/>
        <v>524.9</v>
      </c>
      <c r="O27" s="102">
        <f t="shared" si="1"/>
        <v>0</v>
      </c>
      <c r="P27" s="97">
        <f>H27/D27</f>
        <v>1</v>
      </c>
      <c r="Q27" s="126">
        <f>L27/D27</f>
        <v>1</v>
      </c>
      <c r="R27" s="56"/>
    </row>
    <row r="28" spans="1:22" s="57" customFormat="1" ht="66.75" customHeight="1">
      <c r="A28" s="62" t="s">
        <v>18</v>
      </c>
      <c r="B28" s="63" t="s">
        <v>139</v>
      </c>
      <c r="C28" s="107">
        <f>C29+C30</f>
        <v>17497.7</v>
      </c>
      <c r="D28" s="107">
        <f t="shared" ref="D28:O28" si="2">D29+D30</f>
        <v>17497.7</v>
      </c>
      <c r="E28" s="107">
        <f t="shared" si="2"/>
        <v>16972.8</v>
      </c>
      <c r="F28" s="107">
        <f t="shared" si="2"/>
        <v>524.9</v>
      </c>
      <c r="G28" s="107">
        <f t="shared" si="2"/>
        <v>0</v>
      </c>
      <c r="H28" s="107">
        <f t="shared" si="2"/>
        <v>17497.7</v>
      </c>
      <c r="I28" s="107">
        <f t="shared" si="2"/>
        <v>16972.8</v>
      </c>
      <c r="J28" s="107">
        <f t="shared" si="2"/>
        <v>524.9</v>
      </c>
      <c r="K28" s="107">
        <f t="shared" si="2"/>
        <v>0</v>
      </c>
      <c r="L28" s="107">
        <f t="shared" si="2"/>
        <v>17497.7</v>
      </c>
      <c r="M28" s="107">
        <f t="shared" si="2"/>
        <v>16972.8</v>
      </c>
      <c r="N28" s="107">
        <f t="shared" si="2"/>
        <v>524.9</v>
      </c>
      <c r="O28" s="107">
        <f t="shared" si="2"/>
        <v>0</v>
      </c>
      <c r="P28" s="100">
        <f t="shared" ref="P28:P36" si="3">H28/D28</f>
        <v>1</v>
      </c>
      <c r="Q28" s="129">
        <f t="shared" ref="Q28:Q36" si="4">L28/D28</f>
        <v>1</v>
      </c>
      <c r="R28" s="56"/>
    </row>
    <row r="29" spans="1:22" s="57" customFormat="1" ht="88.5" customHeight="1">
      <c r="A29" s="62"/>
      <c r="B29" s="112" t="s">
        <v>140</v>
      </c>
      <c r="C29" s="107">
        <v>8113.3</v>
      </c>
      <c r="D29" s="108">
        <f>E29+F29</f>
        <v>8113.3</v>
      </c>
      <c r="E29" s="108">
        <v>7869.9</v>
      </c>
      <c r="F29" s="109">
        <v>243.4</v>
      </c>
      <c r="G29" s="110">
        <v>0</v>
      </c>
      <c r="H29" s="108">
        <f t="shared" ref="H29:J30" si="5">D29</f>
        <v>8113.3</v>
      </c>
      <c r="I29" s="108">
        <f t="shared" si="5"/>
        <v>7869.9</v>
      </c>
      <c r="J29" s="108">
        <f t="shared" si="5"/>
        <v>243.4</v>
      </c>
      <c r="K29" s="111">
        <v>0</v>
      </c>
      <c r="L29" s="108">
        <f t="shared" ref="L29:N30" si="6">H29</f>
        <v>8113.3</v>
      </c>
      <c r="M29" s="108">
        <f t="shared" si="6"/>
        <v>7869.9</v>
      </c>
      <c r="N29" s="108">
        <f t="shared" si="6"/>
        <v>243.4</v>
      </c>
      <c r="O29" s="110">
        <v>0</v>
      </c>
      <c r="P29" s="100">
        <f t="shared" si="3"/>
        <v>1</v>
      </c>
      <c r="Q29" s="129">
        <f t="shared" si="4"/>
        <v>1</v>
      </c>
      <c r="R29" s="56"/>
    </row>
    <row r="30" spans="1:22" s="57" customFormat="1" ht="88.5" customHeight="1">
      <c r="A30" s="62"/>
      <c r="B30" s="112" t="s">
        <v>141</v>
      </c>
      <c r="C30" s="107">
        <v>9384.4</v>
      </c>
      <c r="D30" s="108">
        <f>E30+F30</f>
        <v>9384.4</v>
      </c>
      <c r="E30" s="108">
        <f>9102.9</f>
        <v>9102.9</v>
      </c>
      <c r="F30" s="109">
        <f>281.5</f>
        <v>281.5</v>
      </c>
      <c r="G30" s="110">
        <v>0</v>
      </c>
      <c r="H30" s="108">
        <f t="shared" si="5"/>
        <v>9384.4</v>
      </c>
      <c r="I30" s="108">
        <f t="shared" si="5"/>
        <v>9102.9</v>
      </c>
      <c r="J30" s="108">
        <f t="shared" si="5"/>
        <v>281.5</v>
      </c>
      <c r="K30" s="108">
        <f>G30</f>
        <v>0</v>
      </c>
      <c r="L30" s="108">
        <f t="shared" si="6"/>
        <v>9384.4</v>
      </c>
      <c r="M30" s="108">
        <f t="shared" si="6"/>
        <v>9102.9</v>
      </c>
      <c r="N30" s="108">
        <f t="shared" si="6"/>
        <v>281.5</v>
      </c>
      <c r="O30" s="108">
        <f>K30</f>
        <v>0</v>
      </c>
      <c r="P30" s="100">
        <f t="shared" si="3"/>
        <v>1</v>
      </c>
      <c r="Q30" s="129">
        <f t="shared" si="4"/>
        <v>1</v>
      </c>
      <c r="R30" s="56"/>
    </row>
    <row r="31" spans="1:22" s="57" customFormat="1" ht="87" customHeight="1">
      <c r="A31" s="74" t="s">
        <v>22</v>
      </c>
      <c r="B31" s="113" t="s">
        <v>143</v>
      </c>
      <c r="C31" s="102">
        <f>C32+C33</f>
        <v>35115.1</v>
      </c>
      <c r="D31" s="103">
        <f>D32+D33</f>
        <v>35115.1</v>
      </c>
      <c r="E31" s="103">
        <f t="shared" ref="E31:O31" si="7">E32+E33</f>
        <v>34061.599999999999</v>
      </c>
      <c r="F31" s="103">
        <f t="shared" si="7"/>
        <v>1053.5</v>
      </c>
      <c r="G31" s="103">
        <v>0</v>
      </c>
      <c r="H31" s="103">
        <f>I31+J31</f>
        <v>34519.5</v>
      </c>
      <c r="I31" s="103">
        <f t="shared" si="7"/>
        <v>33484</v>
      </c>
      <c r="J31" s="103">
        <f t="shared" si="7"/>
        <v>1035.5</v>
      </c>
      <c r="K31" s="103">
        <f t="shared" si="7"/>
        <v>0</v>
      </c>
      <c r="L31" s="103">
        <f>M31+N31</f>
        <v>34519.5</v>
      </c>
      <c r="M31" s="103">
        <f t="shared" si="7"/>
        <v>33484</v>
      </c>
      <c r="N31" s="103">
        <f>J31</f>
        <v>1035.5</v>
      </c>
      <c r="O31" s="103">
        <f t="shared" si="7"/>
        <v>0</v>
      </c>
      <c r="P31" s="97">
        <f t="shared" si="3"/>
        <v>0.98299999999999998</v>
      </c>
      <c r="Q31" s="126">
        <f t="shared" si="4"/>
        <v>0.98299999999999998</v>
      </c>
      <c r="R31" s="56"/>
    </row>
    <row r="32" spans="1:22" s="57" customFormat="1" ht="102" customHeight="1">
      <c r="A32" s="62" t="s">
        <v>23</v>
      </c>
      <c r="B32" s="112" t="s">
        <v>145</v>
      </c>
      <c r="C32" s="107">
        <v>34061.599999999999</v>
      </c>
      <c r="D32" s="108">
        <f>E32</f>
        <v>34061.599999999999</v>
      </c>
      <c r="E32" s="108">
        <f>E34+E35+E36</f>
        <v>34061.599999999999</v>
      </c>
      <c r="F32" s="109">
        <v>0</v>
      </c>
      <c r="G32" s="110">
        <v>0</v>
      </c>
      <c r="H32" s="108">
        <f>I32</f>
        <v>33484</v>
      </c>
      <c r="I32" s="111">
        <f>I34+I35+I36</f>
        <v>33484</v>
      </c>
      <c r="J32" s="111">
        <v>0</v>
      </c>
      <c r="K32" s="111">
        <v>0</v>
      </c>
      <c r="L32" s="108">
        <f>H32</f>
        <v>33484</v>
      </c>
      <c r="M32" s="111">
        <f>I32</f>
        <v>33484</v>
      </c>
      <c r="N32" s="111">
        <v>0</v>
      </c>
      <c r="O32" s="110">
        <v>0</v>
      </c>
      <c r="P32" s="100">
        <f t="shared" si="3"/>
        <v>0.98299999999999998</v>
      </c>
      <c r="Q32" s="129">
        <f t="shared" si="4"/>
        <v>0.98299999999999998</v>
      </c>
      <c r="R32" s="56"/>
    </row>
    <row r="33" spans="1:18" s="57" customFormat="1" ht="66" customHeight="1">
      <c r="A33" s="62" t="s">
        <v>174</v>
      </c>
      <c r="B33" s="112" t="s">
        <v>147</v>
      </c>
      <c r="C33" s="107">
        <v>1053.5</v>
      </c>
      <c r="D33" s="108">
        <f>F33</f>
        <v>1053.5</v>
      </c>
      <c r="E33" s="108">
        <v>0</v>
      </c>
      <c r="F33" s="109">
        <f>F34+F35+F36</f>
        <v>1053.5</v>
      </c>
      <c r="G33" s="110">
        <v>0</v>
      </c>
      <c r="H33" s="108">
        <v>0</v>
      </c>
      <c r="I33" s="111">
        <v>0</v>
      </c>
      <c r="J33" s="111">
        <f>J34+J35+J36</f>
        <v>1035.5</v>
      </c>
      <c r="K33" s="111">
        <v>0</v>
      </c>
      <c r="L33" s="108">
        <v>0</v>
      </c>
      <c r="M33" s="111">
        <v>0</v>
      </c>
      <c r="N33" s="111">
        <v>0</v>
      </c>
      <c r="O33" s="110">
        <v>0</v>
      </c>
      <c r="P33" s="100">
        <f t="shared" si="3"/>
        <v>0</v>
      </c>
      <c r="Q33" s="129">
        <f t="shared" si="4"/>
        <v>0</v>
      </c>
      <c r="R33" s="56"/>
    </row>
    <row r="34" spans="1:18" s="57" customFormat="1" ht="66" customHeight="1">
      <c r="A34" s="62"/>
      <c r="B34" s="112" t="s">
        <v>141</v>
      </c>
      <c r="C34" s="107">
        <v>9998.2000000000007</v>
      </c>
      <c r="D34" s="108">
        <f>E34+F34</f>
        <v>9998.2000000000007</v>
      </c>
      <c r="E34" s="108">
        <v>9698.2999999999993</v>
      </c>
      <c r="F34" s="109">
        <v>299.89999999999998</v>
      </c>
      <c r="G34" s="110">
        <v>0</v>
      </c>
      <c r="H34" s="108">
        <f>I34+J34</f>
        <v>9774.4</v>
      </c>
      <c r="I34" s="111">
        <v>9481.2000000000007</v>
      </c>
      <c r="J34" s="111">
        <v>293.2</v>
      </c>
      <c r="K34" s="111">
        <v>0</v>
      </c>
      <c r="L34" s="108">
        <f t="shared" ref="L34:N36" si="8">H34</f>
        <v>9774.4</v>
      </c>
      <c r="M34" s="108">
        <f t="shared" si="8"/>
        <v>9481.2000000000007</v>
      </c>
      <c r="N34" s="108">
        <f t="shared" si="8"/>
        <v>293.2</v>
      </c>
      <c r="O34" s="110">
        <v>0</v>
      </c>
      <c r="P34" s="100">
        <f t="shared" si="3"/>
        <v>0.97799999999999998</v>
      </c>
      <c r="Q34" s="129">
        <f t="shared" si="4"/>
        <v>0.97799999999999998</v>
      </c>
      <c r="R34" s="56"/>
    </row>
    <row r="35" spans="1:18" s="57" customFormat="1" ht="66" customHeight="1">
      <c r="A35" s="62"/>
      <c r="B35" s="112" t="s">
        <v>148</v>
      </c>
      <c r="C35" s="107">
        <v>15532.2</v>
      </c>
      <c r="D35" s="108">
        <f>E35+F35</f>
        <v>15532.2</v>
      </c>
      <c r="E35" s="108">
        <v>15066.2</v>
      </c>
      <c r="F35" s="109">
        <v>466</v>
      </c>
      <c r="G35" s="110">
        <v>0</v>
      </c>
      <c r="H35" s="108">
        <f>I35+J35</f>
        <v>15160.7</v>
      </c>
      <c r="I35" s="111">
        <v>14705.9</v>
      </c>
      <c r="J35" s="111">
        <v>454.8</v>
      </c>
      <c r="K35" s="111">
        <v>0</v>
      </c>
      <c r="L35" s="108">
        <f t="shared" si="8"/>
        <v>15160.7</v>
      </c>
      <c r="M35" s="111">
        <f t="shared" si="8"/>
        <v>14705.9</v>
      </c>
      <c r="N35" s="111">
        <f t="shared" si="8"/>
        <v>454.8</v>
      </c>
      <c r="O35" s="110">
        <v>0</v>
      </c>
      <c r="P35" s="100">
        <f t="shared" si="3"/>
        <v>0.97599999999999998</v>
      </c>
      <c r="Q35" s="129">
        <f t="shared" si="4"/>
        <v>0.97599999999999998</v>
      </c>
      <c r="R35" s="56"/>
    </row>
    <row r="36" spans="1:18" s="57" customFormat="1" ht="66" customHeight="1">
      <c r="A36" s="62"/>
      <c r="B36" s="112" t="s">
        <v>454</v>
      </c>
      <c r="C36" s="107">
        <v>9584.7000000000007</v>
      </c>
      <c r="D36" s="108">
        <f>E36+F36</f>
        <v>9584.7000000000007</v>
      </c>
      <c r="E36" s="108">
        <v>9297.1</v>
      </c>
      <c r="F36" s="109">
        <v>287.60000000000002</v>
      </c>
      <c r="G36" s="110">
        <v>0</v>
      </c>
      <c r="H36" s="108">
        <f>I36+J36</f>
        <v>9584.4</v>
      </c>
      <c r="I36" s="111">
        <v>9296.9</v>
      </c>
      <c r="J36" s="111">
        <v>287.5</v>
      </c>
      <c r="K36" s="111">
        <v>0</v>
      </c>
      <c r="L36" s="108">
        <f t="shared" si="8"/>
        <v>9584.4</v>
      </c>
      <c r="M36" s="108">
        <f t="shared" si="8"/>
        <v>9296.9</v>
      </c>
      <c r="N36" s="108">
        <f t="shared" si="8"/>
        <v>287.5</v>
      </c>
      <c r="O36" s="110">
        <v>0</v>
      </c>
      <c r="P36" s="100">
        <f t="shared" si="3"/>
        <v>1</v>
      </c>
      <c r="Q36" s="129">
        <f t="shared" si="4"/>
        <v>1</v>
      </c>
      <c r="R36" s="56"/>
    </row>
    <row r="37" spans="1:18" s="57" customFormat="1" ht="87" customHeight="1">
      <c r="A37" s="74" t="s">
        <v>142</v>
      </c>
      <c r="B37" s="113" t="s">
        <v>150</v>
      </c>
      <c r="C37" s="102">
        <f>C38</f>
        <v>451.6</v>
      </c>
      <c r="D37" s="102">
        <f t="shared" ref="D37:O37" si="9">D38</f>
        <v>451.6</v>
      </c>
      <c r="E37" s="102">
        <f t="shared" si="9"/>
        <v>0</v>
      </c>
      <c r="F37" s="102">
        <f t="shared" si="9"/>
        <v>451.6</v>
      </c>
      <c r="G37" s="102">
        <f t="shared" si="9"/>
        <v>0</v>
      </c>
      <c r="H37" s="102">
        <f t="shared" si="9"/>
        <v>371.9</v>
      </c>
      <c r="I37" s="102">
        <f t="shared" si="9"/>
        <v>0</v>
      </c>
      <c r="J37" s="102">
        <f t="shared" si="9"/>
        <v>371.9</v>
      </c>
      <c r="K37" s="102">
        <f t="shared" si="9"/>
        <v>0</v>
      </c>
      <c r="L37" s="102">
        <f t="shared" si="9"/>
        <v>371.9</v>
      </c>
      <c r="M37" s="102">
        <f t="shared" si="9"/>
        <v>0</v>
      </c>
      <c r="N37" s="102">
        <f t="shared" si="9"/>
        <v>371.9</v>
      </c>
      <c r="O37" s="102">
        <f t="shared" si="9"/>
        <v>0</v>
      </c>
      <c r="P37" s="97">
        <f>H37/D37</f>
        <v>0.82399999999999995</v>
      </c>
      <c r="Q37" s="126">
        <f>L37/D37</f>
        <v>0.82399999999999995</v>
      </c>
      <c r="R37" s="56"/>
    </row>
    <row r="38" spans="1:18" s="57" customFormat="1" ht="66" customHeight="1">
      <c r="A38" s="62" t="s">
        <v>144</v>
      </c>
      <c r="B38" s="112" t="s">
        <v>152</v>
      </c>
      <c r="C38" s="107">
        <f>C39+C40+C41</f>
        <v>451.6</v>
      </c>
      <c r="D38" s="107">
        <f t="shared" ref="D38:O38" si="10">D39+D40+D41</f>
        <v>451.6</v>
      </c>
      <c r="E38" s="107">
        <f t="shared" si="10"/>
        <v>0</v>
      </c>
      <c r="F38" s="107">
        <f t="shared" si="10"/>
        <v>451.6</v>
      </c>
      <c r="G38" s="107">
        <f t="shared" si="10"/>
        <v>0</v>
      </c>
      <c r="H38" s="107">
        <f t="shared" si="10"/>
        <v>371.9</v>
      </c>
      <c r="I38" s="107">
        <f t="shared" si="10"/>
        <v>0</v>
      </c>
      <c r="J38" s="107">
        <f t="shared" si="10"/>
        <v>371.9</v>
      </c>
      <c r="K38" s="107">
        <f t="shared" si="10"/>
        <v>0</v>
      </c>
      <c r="L38" s="107">
        <f t="shared" si="10"/>
        <v>371.9</v>
      </c>
      <c r="M38" s="107">
        <f t="shared" si="10"/>
        <v>0</v>
      </c>
      <c r="N38" s="107">
        <f t="shared" si="10"/>
        <v>371.9</v>
      </c>
      <c r="O38" s="107">
        <f t="shared" si="10"/>
        <v>0</v>
      </c>
      <c r="P38" s="100">
        <f>H38/D38</f>
        <v>0.82399999999999995</v>
      </c>
      <c r="Q38" s="129">
        <f>L38/D38</f>
        <v>0.82399999999999995</v>
      </c>
      <c r="R38" s="56"/>
    </row>
    <row r="39" spans="1:18" s="57" customFormat="1" ht="66" customHeight="1">
      <c r="A39" s="62"/>
      <c r="B39" s="112" t="s">
        <v>153</v>
      </c>
      <c r="C39" s="107">
        <v>36.6</v>
      </c>
      <c r="D39" s="108">
        <f>F39</f>
        <v>36.6</v>
      </c>
      <c r="E39" s="108">
        <v>0</v>
      </c>
      <c r="F39" s="109">
        <v>36.6</v>
      </c>
      <c r="G39" s="110">
        <v>0</v>
      </c>
      <c r="H39" s="108">
        <v>0</v>
      </c>
      <c r="I39" s="111">
        <v>0</v>
      </c>
      <c r="J39" s="111">
        <v>0</v>
      </c>
      <c r="K39" s="111">
        <v>0</v>
      </c>
      <c r="L39" s="108">
        <v>0</v>
      </c>
      <c r="M39" s="111">
        <v>0</v>
      </c>
      <c r="N39" s="111">
        <v>0</v>
      </c>
      <c r="O39" s="110">
        <v>0</v>
      </c>
      <c r="P39" s="100">
        <v>0</v>
      </c>
      <c r="Q39" s="129">
        <v>0</v>
      </c>
      <c r="R39" s="56"/>
    </row>
    <row r="40" spans="1:18" s="57" customFormat="1" ht="66" customHeight="1">
      <c r="A40" s="62"/>
      <c r="B40" s="112" t="s">
        <v>154</v>
      </c>
      <c r="C40" s="107">
        <v>415</v>
      </c>
      <c r="D40" s="108">
        <f>F40</f>
        <v>415</v>
      </c>
      <c r="E40" s="108">
        <v>0</v>
      </c>
      <c r="F40" s="109">
        <f>C40</f>
        <v>415</v>
      </c>
      <c r="G40" s="110">
        <v>0</v>
      </c>
      <c r="H40" s="108">
        <f>J40</f>
        <v>371.9</v>
      </c>
      <c r="I40" s="111">
        <v>0</v>
      </c>
      <c r="J40" s="111">
        <v>371.9</v>
      </c>
      <c r="K40" s="111">
        <v>0</v>
      </c>
      <c r="L40" s="108">
        <f>N40</f>
        <v>371.9</v>
      </c>
      <c r="M40" s="111">
        <v>0</v>
      </c>
      <c r="N40" s="111">
        <v>371.9</v>
      </c>
      <c r="O40" s="110">
        <v>0</v>
      </c>
      <c r="P40" s="100">
        <f>H40/D40</f>
        <v>0.89600000000000002</v>
      </c>
      <c r="Q40" s="129">
        <f>L40/D40</f>
        <v>0.89600000000000002</v>
      </c>
      <c r="R40" s="56"/>
    </row>
    <row r="41" spans="1:18" s="57" customFormat="1" ht="66" hidden="1" customHeight="1">
      <c r="A41" s="62"/>
      <c r="B41" s="112" t="s">
        <v>155</v>
      </c>
      <c r="C41" s="107">
        <v>0</v>
      </c>
      <c r="D41" s="108">
        <v>0</v>
      </c>
      <c r="E41" s="108">
        <v>0</v>
      </c>
      <c r="F41" s="109">
        <v>0</v>
      </c>
      <c r="G41" s="110">
        <v>0</v>
      </c>
      <c r="H41" s="108">
        <v>0</v>
      </c>
      <c r="I41" s="111">
        <v>0</v>
      </c>
      <c r="J41" s="111">
        <v>0</v>
      </c>
      <c r="K41" s="111">
        <v>0</v>
      </c>
      <c r="L41" s="108">
        <v>0</v>
      </c>
      <c r="M41" s="111">
        <v>0</v>
      </c>
      <c r="N41" s="111">
        <v>0</v>
      </c>
      <c r="O41" s="110">
        <v>0</v>
      </c>
      <c r="P41" s="100">
        <v>0</v>
      </c>
      <c r="Q41" s="129">
        <v>0</v>
      </c>
      <c r="R41" s="56"/>
    </row>
    <row r="42" spans="1:18" s="57" customFormat="1" ht="66" customHeight="1">
      <c r="A42" s="74" t="s">
        <v>149</v>
      </c>
      <c r="B42" s="113" t="s">
        <v>156</v>
      </c>
      <c r="C42" s="102">
        <f>C43+C44+C45</f>
        <v>3213.5</v>
      </c>
      <c r="D42" s="102">
        <f>D43+D44+D45</f>
        <v>3213.5</v>
      </c>
      <c r="E42" s="102">
        <f>E43+E44+E45</f>
        <v>2467.3000000000002</v>
      </c>
      <c r="F42" s="102">
        <f>F43+F44+F45</f>
        <v>537.70000000000005</v>
      </c>
      <c r="G42" s="102">
        <f>G43+G44+G45</f>
        <v>208.5</v>
      </c>
      <c r="H42" s="102">
        <f t="shared" ref="H42:O42" si="11">H43+H44+H45</f>
        <v>2411.4</v>
      </c>
      <c r="I42" s="102">
        <f t="shared" si="11"/>
        <v>1802.1</v>
      </c>
      <c r="J42" s="102">
        <f t="shared" si="11"/>
        <v>439.4</v>
      </c>
      <c r="K42" s="102">
        <f t="shared" si="11"/>
        <v>169.9</v>
      </c>
      <c r="L42" s="102">
        <f t="shared" si="11"/>
        <v>2411.4</v>
      </c>
      <c r="M42" s="102">
        <f t="shared" si="11"/>
        <v>1802.1</v>
      </c>
      <c r="N42" s="102">
        <f t="shared" si="11"/>
        <v>439.4</v>
      </c>
      <c r="O42" s="102">
        <f t="shared" si="11"/>
        <v>169.9</v>
      </c>
      <c r="P42" s="97">
        <f t="shared" ref="P42:P49" si="12">H42/D42</f>
        <v>0.75</v>
      </c>
      <c r="Q42" s="126">
        <f t="shared" ref="Q42:Q49" si="13">L42/D42</f>
        <v>0.75</v>
      </c>
      <c r="R42" s="56"/>
    </row>
    <row r="43" spans="1:18" s="57" customFormat="1" ht="84" customHeight="1">
      <c r="A43" s="62" t="s">
        <v>151</v>
      </c>
      <c r="B43" s="112" t="s">
        <v>157</v>
      </c>
      <c r="C43" s="107">
        <v>2467.3000000000002</v>
      </c>
      <c r="D43" s="107">
        <f t="shared" ref="D43:D48" si="14">E43+F43+G43</f>
        <v>2467.3000000000002</v>
      </c>
      <c r="E43" s="107">
        <f>E46+E47+E48</f>
        <v>2467.3000000000002</v>
      </c>
      <c r="F43" s="107">
        <v>0</v>
      </c>
      <c r="G43" s="107">
        <v>0</v>
      </c>
      <c r="H43" s="107">
        <f>I43</f>
        <v>1802.1</v>
      </c>
      <c r="I43" s="107">
        <f>I46+I47+I48</f>
        <v>1802.1</v>
      </c>
      <c r="J43" s="107">
        <v>0</v>
      </c>
      <c r="K43" s="107">
        <v>0</v>
      </c>
      <c r="L43" s="107">
        <f>M43</f>
        <v>1802.1</v>
      </c>
      <c r="M43" s="107">
        <f>I43</f>
        <v>1802.1</v>
      </c>
      <c r="N43" s="107">
        <v>0</v>
      </c>
      <c r="O43" s="107">
        <v>0</v>
      </c>
      <c r="P43" s="100">
        <f t="shared" si="12"/>
        <v>0.73</v>
      </c>
      <c r="Q43" s="129">
        <f t="shared" si="13"/>
        <v>0.73</v>
      </c>
      <c r="R43" s="56"/>
    </row>
    <row r="44" spans="1:18" s="57" customFormat="1" ht="66" customHeight="1">
      <c r="A44" s="62" t="s">
        <v>455</v>
      </c>
      <c r="B44" s="112" t="s">
        <v>158</v>
      </c>
      <c r="C44" s="107">
        <v>537.70000000000005</v>
      </c>
      <c r="D44" s="107">
        <f t="shared" si="14"/>
        <v>537.70000000000005</v>
      </c>
      <c r="E44" s="108">
        <v>0</v>
      </c>
      <c r="F44" s="109">
        <f>F46+F47+F48</f>
        <v>537.70000000000005</v>
      </c>
      <c r="G44" s="110">
        <v>0</v>
      </c>
      <c r="H44" s="108">
        <f>J44</f>
        <v>439.4</v>
      </c>
      <c r="I44" s="111">
        <v>0</v>
      </c>
      <c r="J44" s="111">
        <f>J46+J47+J48</f>
        <v>439.4</v>
      </c>
      <c r="K44" s="111">
        <v>0</v>
      </c>
      <c r="L44" s="108">
        <f>N44</f>
        <v>439.4</v>
      </c>
      <c r="M44" s="111">
        <v>0</v>
      </c>
      <c r="N44" s="111">
        <f>J44</f>
        <v>439.4</v>
      </c>
      <c r="O44" s="110">
        <v>0</v>
      </c>
      <c r="P44" s="100">
        <f t="shared" si="12"/>
        <v>0.81699999999999995</v>
      </c>
      <c r="Q44" s="129">
        <f t="shared" si="13"/>
        <v>0.81699999999999995</v>
      </c>
      <c r="R44" s="56"/>
    </row>
    <row r="45" spans="1:18" s="57" customFormat="1" ht="119.25" customHeight="1">
      <c r="A45" s="62" t="s">
        <v>456</v>
      </c>
      <c r="B45" s="112" t="s">
        <v>159</v>
      </c>
      <c r="C45" s="107">
        <v>208.5</v>
      </c>
      <c r="D45" s="107">
        <f t="shared" si="14"/>
        <v>208.5</v>
      </c>
      <c r="E45" s="108">
        <v>0</v>
      </c>
      <c r="F45" s="109">
        <v>0</v>
      </c>
      <c r="G45" s="110">
        <f>G46+G47+G48</f>
        <v>208.5</v>
      </c>
      <c r="H45" s="108">
        <f>K45</f>
        <v>169.9</v>
      </c>
      <c r="I45" s="111">
        <v>0</v>
      </c>
      <c r="J45" s="111">
        <v>0</v>
      </c>
      <c r="K45" s="111">
        <f>K46+K47+K48</f>
        <v>169.9</v>
      </c>
      <c r="L45" s="108">
        <f>O45</f>
        <v>169.9</v>
      </c>
      <c r="M45" s="111">
        <v>0</v>
      </c>
      <c r="N45" s="111">
        <v>0</v>
      </c>
      <c r="O45" s="110">
        <f>K45</f>
        <v>169.9</v>
      </c>
      <c r="P45" s="100">
        <f t="shared" si="12"/>
        <v>0.81499999999999995</v>
      </c>
      <c r="Q45" s="129">
        <f t="shared" si="13"/>
        <v>0.81499999999999995</v>
      </c>
      <c r="R45" s="56"/>
    </row>
    <row r="46" spans="1:18" s="57" customFormat="1" ht="68.25" customHeight="1">
      <c r="A46" s="62"/>
      <c r="B46" s="112" t="s">
        <v>160</v>
      </c>
      <c r="C46" s="107">
        <v>1345.3</v>
      </c>
      <c r="D46" s="108">
        <f t="shared" si="14"/>
        <v>1345.3</v>
      </c>
      <c r="E46" s="108">
        <v>887.8</v>
      </c>
      <c r="F46" s="109">
        <v>306.5</v>
      </c>
      <c r="G46" s="110">
        <v>151</v>
      </c>
      <c r="H46" s="108">
        <f>I46+J46+K46</f>
        <v>1345.3</v>
      </c>
      <c r="I46" s="111">
        <v>887.8</v>
      </c>
      <c r="J46" s="111">
        <v>306.5</v>
      </c>
      <c r="K46" s="111">
        <v>151</v>
      </c>
      <c r="L46" s="110">
        <f t="shared" ref="L46:N48" si="15">H46</f>
        <v>1345.3</v>
      </c>
      <c r="M46" s="110">
        <f t="shared" si="15"/>
        <v>887.8</v>
      </c>
      <c r="N46" s="110">
        <f t="shared" si="15"/>
        <v>306.5</v>
      </c>
      <c r="O46" s="110">
        <f>K46</f>
        <v>151</v>
      </c>
      <c r="P46" s="100">
        <f t="shared" si="12"/>
        <v>1</v>
      </c>
      <c r="Q46" s="129">
        <f t="shared" si="13"/>
        <v>1</v>
      </c>
      <c r="R46" s="56"/>
    </row>
    <row r="47" spans="1:18" s="57" customFormat="1" ht="68.25" customHeight="1">
      <c r="A47" s="62"/>
      <c r="B47" s="112" t="s">
        <v>402</v>
      </c>
      <c r="C47" s="107">
        <v>1005.7</v>
      </c>
      <c r="D47" s="108">
        <f t="shared" si="14"/>
        <v>1005.7</v>
      </c>
      <c r="E47" s="108">
        <v>867.5</v>
      </c>
      <c r="F47" s="109">
        <v>125.7</v>
      </c>
      <c r="G47" s="110">
        <v>12.5</v>
      </c>
      <c r="H47" s="108">
        <f>I47+J47+K47</f>
        <v>924.6</v>
      </c>
      <c r="I47" s="111">
        <v>797.5</v>
      </c>
      <c r="J47" s="111">
        <v>115.6</v>
      </c>
      <c r="K47" s="111">
        <v>11.5</v>
      </c>
      <c r="L47" s="110">
        <f t="shared" si="15"/>
        <v>924.6</v>
      </c>
      <c r="M47" s="110">
        <f t="shared" si="15"/>
        <v>797.5</v>
      </c>
      <c r="N47" s="110">
        <f t="shared" si="15"/>
        <v>115.6</v>
      </c>
      <c r="O47" s="110">
        <f>K47</f>
        <v>11.5</v>
      </c>
      <c r="P47" s="100">
        <f t="shared" si="12"/>
        <v>0.91900000000000004</v>
      </c>
      <c r="Q47" s="129">
        <f t="shared" si="13"/>
        <v>0.91900000000000004</v>
      </c>
      <c r="R47" s="56"/>
    </row>
    <row r="48" spans="1:18" s="57" customFormat="1" ht="68.25" customHeight="1">
      <c r="A48" s="62"/>
      <c r="B48" s="112" t="s">
        <v>457</v>
      </c>
      <c r="C48" s="107">
        <v>862.5</v>
      </c>
      <c r="D48" s="108">
        <f t="shared" si="14"/>
        <v>862.5</v>
      </c>
      <c r="E48" s="108">
        <v>712</v>
      </c>
      <c r="F48" s="109">
        <v>105.5</v>
      </c>
      <c r="G48" s="110">
        <v>45</v>
      </c>
      <c r="H48" s="108">
        <f>I48+J48+K48</f>
        <v>141.5</v>
      </c>
      <c r="I48" s="111">
        <v>116.8</v>
      </c>
      <c r="J48" s="111">
        <v>17.3</v>
      </c>
      <c r="K48" s="111">
        <v>7.4</v>
      </c>
      <c r="L48" s="110">
        <f t="shared" si="15"/>
        <v>141.5</v>
      </c>
      <c r="M48" s="110">
        <f t="shared" si="15"/>
        <v>116.8</v>
      </c>
      <c r="N48" s="110">
        <f t="shared" si="15"/>
        <v>17.3</v>
      </c>
      <c r="O48" s="110">
        <f>K48</f>
        <v>7.4</v>
      </c>
      <c r="P48" s="100">
        <f t="shared" si="12"/>
        <v>0.16400000000000001</v>
      </c>
      <c r="Q48" s="129">
        <f t="shared" si="13"/>
        <v>0.16400000000000001</v>
      </c>
      <c r="R48" s="56"/>
    </row>
    <row r="49" spans="1:18" s="57" customFormat="1" ht="33.75" customHeight="1">
      <c r="A49" s="114"/>
      <c r="B49" s="115" t="s">
        <v>161</v>
      </c>
      <c r="C49" s="116">
        <f>C42+C37+C31+C27+C23+0.1</f>
        <v>56278</v>
      </c>
      <c r="D49" s="116">
        <f>D42+D37+D31+D27+D23+0.1</f>
        <v>56278</v>
      </c>
      <c r="E49" s="116">
        <f t="shared" ref="E49:O49" si="16">E42+E37+E31+E27+E23</f>
        <v>53501.7</v>
      </c>
      <c r="F49" s="116">
        <f>F42+F37+F31+F27+F23+0.1</f>
        <v>2567.8000000000002</v>
      </c>
      <c r="G49" s="116">
        <f t="shared" si="16"/>
        <v>208.5</v>
      </c>
      <c r="H49" s="116">
        <f t="shared" si="16"/>
        <v>54800.5</v>
      </c>
      <c r="I49" s="116">
        <f t="shared" si="16"/>
        <v>52258.9</v>
      </c>
      <c r="J49" s="116">
        <f t="shared" si="16"/>
        <v>2371.6999999999998</v>
      </c>
      <c r="K49" s="116">
        <f t="shared" si="16"/>
        <v>169.9</v>
      </c>
      <c r="L49" s="116">
        <f t="shared" si="16"/>
        <v>54800.5</v>
      </c>
      <c r="M49" s="116">
        <f t="shared" si="16"/>
        <v>52258.9</v>
      </c>
      <c r="N49" s="116">
        <f t="shared" si="16"/>
        <v>2371.6999999999998</v>
      </c>
      <c r="O49" s="116">
        <f t="shared" si="16"/>
        <v>169.9</v>
      </c>
      <c r="P49" s="121">
        <f t="shared" si="12"/>
        <v>0.97399999999999998</v>
      </c>
      <c r="Q49" s="206">
        <f t="shared" si="13"/>
        <v>0.97399999999999998</v>
      </c>
      <c r="R49" s="56"/>
    </row>
    <row r="50" spans="1:18" s="57" customFormat="1" ht="27.75" customHeight="1">
      <c r="A50" s="62"/>
      <c r="B50" s="289" t="s">
        <v>162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1"/>
      <c r="R50" s="56"/>
    </row>
    <row r="51" spans="1:18" s="57" customFormat="1" ht="108" customHeight="1">
      <c r="A51" s="118" t="s">
        <v>24</v>
      </c>
      <c r="B51" s="119" t="s">
        <v>163</v>
      </c>
      <c r="C51" s="120">
        <f>C52+C53</f>
        <v>10309.299999999999</v>
      </c>
      <c r="D51" s="120">
        <f t="shared" ref="D51:O51" si="17">D52+D53</f>
        <v>10309.299999999999</v>
      </c>
      <c r="E51" s="120">
        <f t="shared" si="17"/>
        <v>10000</v>
      </c>
      <c r="F51" s="120">
        <f t="shared" si="17"/>
        <v>309.3</v>
      </c>
      <c r="G51" s="120">
        <f t="shared" si="17"/>
        <v>0</v>
      </c>
      <c r="H51" s="120">
        <f t="shared" si="17"/>
        <v>10304.5</v>
      </c>
      <c r="I51" s="120">
        <f t="shared" si="17"/>
        <v>9995.4</v>
      </c>
      <c r="J51" s="120">
        <f t="shared" si="17"/>
        <v>309.10000000000002</v>
      </c>
      <c r="K51" s="120">
        <f t="shared" si="17"/>
        <v>0</v>
      </c>
      <c r="L51" s="120">
        <f t="shared" si="17"/>
        <v>10304.5</v>
      </c>
      <c r="M51" s="120">
        <f t="shared" si="17"/>
        <v>9995.4</v>
      </c>
      <c r="N51" s="120">
        <f t="shared" si="17"/>
        <v>309.10000000000002</v>
      </c>
      <c r="O51" s="120">
        <f t="shared" si="17"/>
        <v>0</v>
      </c>
      <c r="P51" s="97">
        <f t="shared" ref="P51:P57" si="18">H51/D51</f>
        <v>1</v>
      </c>
      <c r="Q51" s="126">
        <f t="shared" ref="Q51:Q57" si="19">L51/D51</f>
        <v>1</v>
      </c>
      <c r="R51" s="56"/>
    </row>
    <row r="52" spans="1:18" s="57" customFormat="1" ht="68.25" customHeight="1">
      <c r="A52" s="62" t="s">
        <v>26</v>
      </c>
      <c r="B52" s="63" t="s">
        <v>164</v>
      </c>
      <c r="C52" s="107">
        <v>10000</v>
      </c>
      <c r="D52" s="107">
        <f>E52</f>
        <v>10000</v>
      </c>
      <c r="E52" s="107">
        <f>E54+E55</f>
        <v>10000</v>
      </c>
      <c r="F52" s="107">
        <v>0</v>
      </c>
      <c r="G52" s="107">
        <v>0</v>
      </c>
      <c r="H52" s="107">
        <f>I52</f>
        <v>9995.4</v>
      </c>
      <c r="I52" s="107">
        <f>I54+I55</f>
        <v>9995.4</v>
      </c>
      <c r="J52" s="107">
        <v>0</v>
      </c>
      <c r="K52" s="107">
        <v>0</v>
      </c>
      <c r="L52" s="107">
        <f>M52</f>
        <v>9995.4</v>
      </c>
      <c r="M52" s="107">
        <f>I52</f>
        <v>9995.4</v>
      </c>
      <c r="N52" s="107">
        <v>0</v>
      </c>
      <c r="O52" s="107">
        <v>0</v>
      </c>
      <c r="P52" s="100">
        <f t="shared" si="18"/>
        <v>1</v>
      </c>
      <c r="Q52" s="129">
        <f t="shared" si="19"/>
        <v>1</v>
      </c>
      <c r="R52" s="56"/>
    </row>
    <row r="53" spans="1:18" s="57" customFormat="1" ht="68.25" customHeight="1">
      <c r="A53" s="62" t="s">
        <v>27</v>
      </c>
      <c r="B53" s="63" t="s">
        <v>165</v>
      </c>
      <c r="C53" s="107">
        <v>309.3</v>
      </c>
      <c r="D53" s="107">
        <f>F53</f>
        <v>309.3</v>
      </c>
      <c r="E53" s="107">
        <v>0</v>
      </c>
      <c r="F53" s="107">
        <f>F54+F55</f>
        <v>309.3</v>
      </c>
      <c r="G53" s="107">
        <v>0</v>
      </c>
      <c r="H53" s="107">
        <f>I53+J53</f>
        <v>309.10000000000002</v>
      </c>
      <c r="I53" s="107">
        <v>0</v>
      </c>
      <c r="J53" s="107">
        <f>J54+J55</f>
        <v>309.10000000000002</v>
      </c>
      <c r="K53" s="107">
        <v>0</v>
      </c>
      <c r="L53" s="107">
        <f>N53</f>
        <v>309.10000000000002</v>
      </c>
      <c r="M53" s="107">
        <v>0</v>
      </c>
      <c r="N53" s="107">
        <f>J53</f>
        <v>309.10000000000002</v>
      </c>
      <c r="O53" s="107">
        <v>0</v>
      </c>
      <c r="P53" s="100">
        <f t="shared" si="18"/>
        <v>0.999</v>
      </c>
      <c r="Q53" s="129">
        <f t="shared" si="19"/>
        <v>0.999</v>
      </c>
      <c r="R53" s="56"/>
    </row>
    <row r="54" spans="1:18" s="57" customFormat="1" ht="74.25" customHeight="1">
      <c r="A54" s="62"/>
      <c r="B54" s="112" t="s">
        <v>166</v>
      </c>
      <c r="C54" s="107">
        <v>7219.3</v>
      </c>
      <c r="D54" s="108">
        <f>E54+F54</f>
        <v>7219.3</v>
      </c>
      <c r="E54" s="108">
        <v>7002.7</v>
      </c>
      <c r="F54" s="109">
        <v>216.6</v>
      </c>
      <c r="G54" s="110">
        <v>0</v>
      </c>
      <c r="H54" s="108">
        <f>I54+J54</f>
        <v>7214.6</v>
      </c>
      <c r="I54" s="111">
        <v>6998.2</v>
      </c>
      <c r="J54" s="111">
        <v>216.4</v>
      </c>
      <c r="K54" s="111">
        <v>0</v>
      </c>
      <c r="L54" s="108">
        <f>M54+N54</f>
        <v>7214.6</v>
      </c>
      <c r="M54" s="111">
        <f>I54</f>
        <v>6998.2</v>
      </c>
      <c r="N54" s="111">
        <f>J54</f>
        <v>216.4</v>
      </c>
      <c r="O54" s="110">
        <v>0</v>
      </c>
      <c r="P54" s="100">
        <f t="shared" si="18"/>
        <v>0.999</v>
      </c>
      <c r="Q54" s="129">
        <f t="shared" si="19"/>
        <v>0.999</v>
      </c>
      <c r="R54" s="56"/>
    </row>
    <row r="55" spans="1:18" s="57" customFormat="1" ht="74.25" customHeight="1">
      <c r="A55" s="62"/>
      <c r="B55" s="112" t="s">
        <v>403</v>
      </c>
      <c r="C55" s="107">
        <v>3090</v>
      </c>
      <c r="D55" s="108">
        <f>E55+F55</f>
        <v>3090</v>
      </c>
      <c r="E55" s="108">
        <v>2997.3</v>
      </c>
      <c r="F55" s="109">
        <v>92.7</v>
      </c>
      <c r="G55" s="110">
        <v>0</v>
      </c>
      <c r="H55" s="108">
        <f>I55+J55</f>
        <v>3089.9</v>
      </c>
      <c r="I55" s="111">
        <v>2997.2</v>
      </c>
      <c r="J55" s="111">
        <v>92.7</v>
      </c>
      <c r="K55" s="111">
        <v>0</v>
      </c>
      <c r="L55" s="111">
        <f>H55</f>
        <v>3089.9</v>
      </c>
      <c r="M55" s="111">
        <f>I55</f>
        <v>2997.2</v>
      </c>
      <c r="N55" s="111">
        <f>J55</f>
        <v>92.7</v>
      </c>
      <c r="O55" s="110">
        <v>0</v>
      </c>
      <c r="P55" s="100">
        <f t="shared" si="18"/>
        <v>1</v>
      </c>
      <c r="Q55" s="129">
        <f t="shared" si="19"/>
        <v>1</v>
      </c>
      <c r="R55" s="56"/>
    </row>
    <row r="56" spans="1:18" s="57" customFormat="1" ht="33" customHeight="1">
      <c r="A56" s="114"/>
      <c r="B56" s="115" t="s">
        <v>167</v>
      </c>
      <c r="C56" s="116">
        <f>C51</f>
        <v>10309.299999999999</v>
      </c>
      <c r="D56" s="116">
        <f t="shared" ref="D56:O56" si="20">D51</f>
        <v>10309.299999999999</v>
      </c>
      <c r="E56" s="116">
        <f t="shared" si="20"/>
        <v>10000</v>
      </c>
      <c r="F56" s="116">
        <f t="shared" si="20"/>
        <v>309.3</v>
      </c>
      <c r="G56" s="116">
        <f t="shared" si="20"/>
        <v>0</v>
      </c>
      <c r="H56" s="116">
        <f t="shared" si="20"/>
        <v>10304.5</v>
      </c>
      <c r="I56" s="116">
        <f t="shared" si="20"/>
        <v>9995.4</v>
      </c>
      <c r="J56" s="116">
        <f t="shared" si="20"/>
        <v>309.10000000000002</v>
      </c>
      <c r="K56" s="116">
        <f t="shared" si="20"/>
        <v>0</v>
      </c>
      <c r="L56" s="116">
        <f t="shared" si="20"/>
        <v>10304.5</v>
      </c>
      <c r="M56" s="116">
        <f t="shared" si="20"/>
        <v>9995.4</v>
      </c>
      <c r="N56" s="116">
        <f t="shared" si="20"/>
        <v>309.10000000000002</v>
      </c>
      <c r="O56" s="116">
        <f t="shared" si="20"/>
        <v>0</v>
      </c>
      <c r="P56" s="121">
        <f t="shared" si="18"/>
        <v>1</v>
      </c>
      <c r="Q56" s="206">
        <f t="shared" si="19"/>
        <v>1</v>
      </c>
      <c r="R56" s="56"/>
    </row>
    <row r="57" spans="1:18" s="84" customFormat="1" ht="27" customHeight="1">
      <c r="A57" s="123"/>
      <c r="B57" s="80" t="s">
        <v>168</v>
      </c>
      <c r="C57" s="124">
        <f>C56+C49</f>
        <v>66587.3</v>
      </c>
      <c r="D57" s="124">
        <f t="shared" ref="D57:O57" si="21">D56+D49</f>
        <v>66587.3</v>
      </c>
      <c r="E57" s="124">
        <f t="shared" si="21"/>
        <v>63501.7</v>
      </c>
      <c r="F57" s="124">
        <f t="shared" si="21"/>
        <v>2877.1</v>
      </c>
      <c r="G57" s="124">
        <f t="shared" si="21"/>
        <v>208.5</v>
      </c>
      <c r="H57" s="124">
        <f t="shared" si="21"/>
        <v>65105</v>
      </c>
      <c r="I57" s="124">
        <f t="shared" si="21"/>
        <v>62254.3</v>
      </c>
      <c r="J57" s="124">
        <f t="shared" si="21"/>
        <v>2680.8</v>
      </c>
      <c r="K57" s="124">
        <f t="shared" si="21"/>
        <v>169.9</v>
      </c>
      <c r="L57" s="124">
        <f t="shared" si="21"/>
        <v>65105</v>
      </c>
      <c r="M57" s="124">
        <f t="shared" si="21"/>
        <v>62254.3</v>
      </c>
      <c r="N57" s="124">
        <f t="shared" si="21"/>
        <v>2680.8</v>
      </c>
      <c r="O57" s="124">
        <f t="shared" si="21"/>
        <v>169.9</v>
      </c>
      <c r="P57" s="125">
        <f t="shared" si="18"/>
        <v>0.97799999999999998</v>
      </c>
      <c r="Q57" s="125">
        <f t="shared" si="19"/>
        <v>0.97799999999999998</v>
      </c>
      <c r="R57" s="83"/>
    </row>
    <row r="59" spans="1:18" customFormat="1" ht="12.75" customHeight="1">
      <c r="N59" s="86"/>
      <c r="O59" s="86"/>
      <c r="P59" s="86"/>
    </row>
    <row r="60" spans="1:18" customFormat="1" ht="12.75" customHeight="1">
      <c r="N60" s="86"/>
      <c r="O60" s="86"/>
      <c r="P60" s="86"/>
    </row>
    <row r="61" spans="1:18" customFormat="1" ht="15.75">
      <c r="A61" s="47"/>
      <c r="B61" s="87"/>
      <c r="C61" s="87"/>
      <c r="D61" s="188"/>
      <c r="E61" s="188"/>
      <c r="F61" s="188"/>
      <c r="G61" s="292"/>
      <c r="H61" s="292"/>
      <c r="I61" s="189"/>
      <c r="J61" s="293"/>
      <c r="K61" s="293"/>
      <c r="L61" s="47"/>
      <c r="M61" s="47"/>
      <c r="N61" s="88"/>
      <c r="O61" s="88"/>
      <c r="P61" s="88"/>
      <c r="Q61" s="47"/>
      <c r="R61" s="47"/>
    </row>
    <row r="62" spans="1:18" customFormat="1" ht="23.25" customHeight="1">
      <c r="C62" s="89"/>
      <c r="N62" s="86"/>
      <c r="O62" s="86"/>
      <c r="P62" s="86"/>
    </row>
    <row r="63" spans="1:18" ht="15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8" ht="15" customHeight="1">
      <c r="D64" s="90"/>
      <c r="E64" s="90"/>
      <c r="F64" s="90"/>
    </row>
    <row r="65" spans="4:6" ht="15" customHeight="1">
      <c r="D65" s="90"/>
      <c r="E65" s="90"/>
      <c r="F65" s="90"/>
    </row>
    <row r="66" spans="4:6" ht="15" customHeight="1">
      <c r="D66" s="90"/>
      <c r="E66" s="90"/>
      <c r="F66" s="90"/>
    </row>
    <row r="67" spans="4:6" ht="15" customHeight="1">
      <c r="D67" s="90"/>
      <c r="E67" s="90"/>
      <c r="F67" s="90"/>
    </row>
  </sheetData>
  <mergeCells count="32">
    <mergeCell ref="A14:P14"/>
    <mergeCell ref="A15:Q15"/>
    <mergeCell ref="A16:A20"/>
    <mergeCell ref="B16:B20"/>
    <mergeCell ref="C16:C20"/>
    <mergeCell ref="D16:O16"/>
    <mergeCell ref="P16:P20"/>
    <mergeCell ref="Q16:Q20"/>
    <mergeCell ref="P1:Q1"/>
    <mergeCell ref="N2:Q2"/>
    <mergeCell ref="N3:Q3"/>
    <mergeCell ref="N4:Q4"/>
    <mergeCell ref="N5:Q5"/>
    <mergeCell ref="A7:Q7"/>
    <mergeCell ref="A8:Q8"/>
    <mergeCell ref="A10:Q10"/>
    <mergeCell ref="A11:Q11"/>
    <mergeCell ref="A12:Q12"/>
    <mergeCell ref="A9:Q9"/>
    <mergeCell ref="G61:H61"/>
    <mergeCell ref="J61:K61"/>
    <mergeCell ref="B22:Q22"/>
    <mergeCell ref="D17:G18"/>
    <mergeCell ref="H17:K18"/>
    <mergeCell ref="L17:O18"/>
    <mergeCell ref="D19:D20"/>
    <mergeCell ref="E19:G19"/>
    <mergeCell ref="H19:H20"/>
    <mergeCell ref="I19:K19"/>
    <mergeCell ref="L19:L20"/>
    <mergeCell ref="M19:O19"/>
    <mergeCell ref="B50:Q50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2"/>
  <sheetViews>
    <sheetView view="pageBreakPreview" topLeftCell="A225" zoomScale="60" zoomScaleNormal="90" workbookViewId="0">
      <selection activeCell="B25" sqref="B25"/>
    </sheetView>
  </sheetViews>
  <sheetFormatPr defaultRowHeight="15"/>
  <cols>
    <col min="1" max="1" width="6.7109375" style="42" customWidth="1"/>
    <col min="2" max="2" width="39.85546875" style="42" customWidth="1"/>
    <col min="3" max="3" width="12.42578125" style="42" customWidth="1"/>
    <col min="4" max="4" width="13.42578125" style="42" customWidth="1"/>
    <col min="5" max="5" width="13.7109375" style="42" customWidth="1"/>
    <col min="6" max="6" width="12.85546875" style="42" customWidth="1"/>
    <col min="7" max="7" width="8.7109375" style="42" customWidth="1"/>
    <col min="8" max="8" width="13.140625" style="43" customWidth="1"/>
    <col min="9" max="9" width="11.28515625" style="43" customWidth="1"/>
    <col min="10" max="10" width="13.42578125" style="42" customWidth="1"/>
    <col min="11" max="11" width="8.28515625" style="42" customWidth="1"/>
    <col min="12" max="13" width="11.42578125" style="85" customWidth="1"/>
    <col min="14" max="14" width="13.5703125" style="42" customWidth="1"/>
    <col min="15" max="15" width="8" style="42" customWidth="1"/>
    <col min="16" max="16" width="13.28515625" style="42" customWidth="1"/>
    <col min="17" max="17" width="14.28515625" style="42" customWidth="1"/>
    <col min="18" max="18" width="13.42578125" style="42" customWidth="1"/>
    <col min="19" max="19" width="10.7109375" style="42" customWidth="1"/>
    <col min="20" max="20" width="11.42578125" style="42" customWidth="1"/>
    <col min="21" max="21" width="13" style="42" customWidth="1"/>
    <col min="22" max="22" width="17.85546875" style="42" customWidth="1"/>
    <col min="23" max="256" width="8.85546875" style="42"/>
    <col min="257" max="257" width="6.7109375" style="42" customWidth="1"/>
    <col min="258" max="258" width="39.85546875" style="42" customWidth="1"/>
    <col min="259" max="259" width="12.42578125" style="42" customWidth="1"/>
    <col min="260" max="260" width="13.42578125" style="42" customWidth="1"/>
    <col min="261" max="261" width="13.7109375" style="42" customWidth="1"/>
    <col min="262" max="262" width="12.85546875" style="42" customWidth="1"/>
    <col min="263" max="263" width="8.7109375" style="42" customWidth="1"/>
    <col min="264" max="264" width="13.140625" style="42" customWidth="1"/>
    <col min="265" max="265" width="11.28515625" style="42" customWidth="1"/>
    <col min="266" max="266" width="13.42578125" style="42" customWidth="1"/>
    <col min="267" max="267" width="8.28515625" style="42" customWidth="1"/>
    <col min="268" max="269" width="11.42578125" style="42" customWidth="1"/>
    <col min="270" max="270" width="13.5703125" style="42" customWidth="1"/>
    <col min="271" max="271" width="8" style="42" customWidth="1"/>
    <col min="272" max="272" width="13.28515625" style="42" customWidth="1"/>
    <col min="273" max="273" width="14.28515625" style="42" customWidth="1"/>
    <col min="274" max="274" width="13.42578125" style="42" customWidth="1"/>
    <col min="275" max="275" width="10.7109375" style="42" customWidth="1"/>
    <col min="276" max="276" width="11.42578125" style="42" customWidth="1"/>
    <col min="277" max="277" width="13" style="42" customWidth="1"/>
    <col min="278" max="278" width="17.85546875" style="42" customWidth="1"/>
    <col min="279" max="512" width="8.85546875" style="42"/>
    <col min="513" max="513" width="6.7109375" style="42" customWidth="1"/>
    <col min="514" max="514" width="39.85546875" style="42" customWidth="1"/>
    <col min="515" max="515" width="12.42578125" style="42" customWidth="1"/>
    <col min="516" max="516" width="13.42578125" style="42" customWidth="1"/>
    <col min="517" max="517" width="13.7109375" style="42" customWidth="1"/>
    <col min="518" max="518" width="12.85546875" style="42" customWidth="1"/>
    <col min="519" max="519" width="8.7109375" style="42" customWidth="1"/>
    <col min="520" max="520" width="13.140625" style="42" customWidth="1"/>
    <col min="521" max="521" width="11.28515625" style="42" customWidth="1"/>
    <col min="522" max="522" width="13.42578125" style="42" customWidth="1"/>
    <col min="523" max="523" width="8.28515625" style="42" customWidth="1"/>
    <col min="524" max="525" width="11.42578125" style="42" customWidth="1"/>
    <col min="526" max="526" width="13.5703125" style="42" customWidth="1"/>
    <col min="527" max="527" width="8" style="42" customWidth="1"/>
    <col min="528" max="528" width="13.28515625" style="42" customWidth="1"/>
    <col min="529" max="529" width="14.28515625" style="42" customWidth="1"/>
    <col min="530" max="530" width="13.42578125" style="42" customWidth="1"/>
    <col min="531" max="531" width="10.7109375" style="42" customWidth="1"/>
    <col min="532" max="532" width="11.42578125" style="42" customWidth="1"/>
    <col min="533" max="533" width="13" style="42" customWidth="1"/>
    <col min="534" max="534" width="17.85546875" style="42" customWidth="1"/>
    <col min="535" max="768" width="8.85546875" style="42"/>
    <col min="769" max="769" width="6.7109375" style="42" customWidth="1"/>
    <col min="770" max="770" width="39.85546875" style="42" customWidth="1"/>
    <col min="771" max="771" width="12.42578125" style="42" customWidth="1"/>
    <col min="772" max="772" width="13.42578125" style="42" customWidth="1"/>
    <col min="773" max="773" width="13.7109375" style="42" customWidth="1"/>
    <col min="774" max="774" width="12.85546875" style="42" customWidth="1"/>
    <col min="775" max="775" width="8.7109375" style="42" customWidth="1"/>
    <col min="776" max="776" width="13.140625" style="42" customWidth="1"/>
    <col min="777" max="777" width="11.28515625" style="42" customWidth="1"/>
    <col min="778" max="778" width="13.42578125" style="42" customWidth="1"/>
    <col min="779" max="779" width="8.28515625" style="42" customWidth="1"/>
    <col min="780" max="781" width="11.42578125" style="42" customWidth="1"/>
    <col min="782" max="782" width="13.5703125" style="42" customWidth="1"/>
    <col min="783" max="783" width="8" style="42" customWidth="1"/>
    <col min="784" max="784" width="13.28515625" style="42" customWidth="1"/>
    <col min="785" max="785" width="14.28515625" style="42" customWidth="1"/>
    <col min="786" max="786" width="13.42578125" style="42" customWidth="1"/>
    <col min="787" max="787" width="10.7109375" style="42" customWidth="1"/>
    <col min="788" max="788" width="11.42578125" style="42" customWidth="1"/>
    <col min="789" max="789" width="13" style="42" customWidth="1"/>
    <col min="790" max="790" width="17.85546875" style="42" customWidth="1"/>
    <col min="791" max="1024" width="8.85546875" style="42"/>
    <col min="1025" max="1025" width="6.7109375" style="42" customWidth="1"/>
    <col min="1026" max="1026" width="39.85546875" style="42" customWidth="1"/>
    <col min="1027" max="1027" width="12.42578125" style="42" customWidth="1"/>
    <col min="1028" max="1028" width="13.42578125" style="42" customWidth="1"/>
    <col min="1029" max="1029" width="13.7109375" style="42" customWidth="1"/>
    <col min="1030" max="1030" width="12.85546875" style="42" customWidth="1"/>
    <col min="1031" max="1031" width="8.7109375" style="42" customWidth="1"/>
    <col min="1032" max="1032" width="13.140625" style="42" customWidth="1"/>
    <col min="1033" max="1033" width="11.28515625" style="42" customWidth="1"/>
    <col min="1034" max="1034" width="13.42578125" style="42" customWidth="1"/>
    <col min="1035" max="1035" width="8.28515625" style="42" customWidth="1"/>
    <col min="1036" max="1037" width="11.42578125" style="42" customWidth="1"/>
    <col min="1038" max="1038" width="13.5703125" style="42" customWidth="1"/>
    <col min="1039" max="1039" width="8" style="42" customWidth="1"/>
    <col min="1040" max="1040" width="13.28515625" style="42" customWidth="1"/>
    <col min="1041" max="1041" width="14.28515625" style="42" customWidth="1"/>
    <col min="1042" max="1042" width="13.42578125" style="42" customWidth="1"/>
    <col min="1043" max="1043" width="10.7109375" style="42" customWidth="1"/>
    <col min="1044" max="1044" width="11.42578125" style="42" customWidth="1"/>
    <col min="1045" max="1045" width="13" style="42" customWidth="1"/>
    <col min="1046" max="1046" width="17.85546875" style="42" customWidth="1"/>
    <col min="1047" max="1280" width="8.85546875" style="42"/>
    <col min="1281" max="1281" width="6.7109375" style="42" customWidth="1"/>
    <col min="1282" max="1282" width="39.85546875" style="42" customWidth="1"/>
    <col min="1283" max="1283" width="12.42578125" style="42" customWidth="1"/>
    <col min="1284" max="1284" width="13.42578125" style="42" customWidth="1"/>
    <col min="1285" max="1285" width="13.7109375" style="42" customWidth="1"/>
    <col min="1286" max="1286" width="12.85546875" style="42" customWidth="1"/>
    <col min="1287" max="1287" width="8.7109375" style="42" customWidth="1"/>
    <col min="1288" max="1288" width="13.140625" style="42" customWidth="1"/>
    <col min="1289" max="1289" width="11.28515625" style="42" customWidth="1"/>
    <col min="1290" max="1290" width="13.42578125" style="42" customWidth="1"/>
    <col min="1291" max="1291" width="8.28515625" style="42" customWidth="1"/>
    <col min="1292" max="1293" width="11.42578125" style="42" customWidth="1"/>
    <col min="1294" max="1294" width="13.5703125" style="42" customWidth="1"/>
    <col min="1295" max="1295" width="8" style="42" customWidth="1"/>
    <col min="1296" max="1296" width="13.28515625" style="42" customWidth="1"/>
    <col min="1297" max="1297" width="14.28515625" style="42" customWidth="1"/>
    <col min="1298" max="1298" width="13.42578125" style="42" customWidth="1"/>
    <col min="1299" max="1299" width="10.7109375" style="42" customWidth="1"/>
    <col min="1300" max="1300" width="11.42578125" style="42" customWidth="1"/>
    <col min="1301" max="1301" width="13" style="42" customWidth="1"/>
    <col min="1302" max="1302" width="17.85546875" style="42" customWidth="1"/>
    <col min="1303" max="1536" width="8.85546875" style="42"/>
    <col min="1537" max="1537" width="6.7109375" style="42" customWidth="1"/>
    <col min="1538" max="1538" width="39.85546875" style="42" customWidth="1"/>
    <col min="1539" max="1539" width="12.42578125" style="42" customWidth="1"/>
    <col min="1540" max="1540" width="13.42578125" style="42" customWidth="1"/>
    <col min="1541" max="1541" width="13.7109375" style="42" customWidth="1"/>
    <col min="1542" max="1542" width="12.85546875" style="42" customWidth="1"/>
    <col min="1543" max="1543" width="8.7109375" style="42" customWidth="1"/>
    <col min="1544" max="1544" width="13.140625" style="42" customWidth="1"/>
    <col min="1545" max="1545" width="11.28515625" style="42" customWidth="1"/>
    <col min="1546" max="1546" width="13.42578125" style="42" customWidth="1"/>
    <col min="1547" max="1547" width="8.28515625" style="42" customWidth="1"/>
    <col min="1548" max="1549" width="11.42578125" style="42" customWidth="1"/>
    <col min="1550" max="1550" width="13.5703125" style="42" customWidth="1"/>
    <col min="1551" max="1551" width="8" style="42" customWidth="1"/>
    <col min="1552" max="1552" width="13.28515625" style="42" customWidth="1"/>
    <col min="1553" max="1553" width="14.28515625" style="42" customWidth="1"/>
    <col min="1554" max="1554" width="13.42578125" style="42" customWidth="1"/>
    <col min="1555" max="1555" width="10.7109375" style="42" customWidth="1"/>
    <col min="1556" max="1556" width="11.42578125" style="42" customWidth="1"/>
    <col min="1557" max="1557" width="13" style="42" customWidth="1"/>
    <col min="1558" max="1558" width="17.85546875" style="42" customWidth="1"/>
    <col min="1559" max="1792" width="8.85546875" style="42"/>
    <col min="1793" max="1793" width="6.7109375" style="42" customWidth="1"/>
    <col min="1794" max="1794" width="39.85546875" style="42" customWidth="1"/>
    <col min="1795" max="1795" width="12.42578125" style="42" customWidth="1"/>
    <col min="1796" max="1796" width="13.42578125" style="42" customWidth="1"/>
    <col min="1797" max="1797" width="13.7109375" style="42" customWidth="1"/>
    <col min="1798" max="1798" width="12.85546875" style="42" customWidth="1"/>
    <col min="1799" max="1799" width="8.7109375" style="42" customWidth="1"/>
    <col min="1800" max="1800" width="13.140625" style="42" customWidth="1"/>
    <col min="1801" max="1801" width="11.28515625" style="42" customWidth="1"/>
    <col min="1802" max="1802" width="13.42578125" style="42" customWidth="1"/>
    <col min="1803" max="1803" width="8.28515625" style="42" customWidth="1"/>
    <col min="1804" max="1805" width="11.42578125" style="42" customWidth="1"/>
    <col min="1806" max="1806" width="13.5703125" style="42" customWidth="1"/>
    <col min="1807" max="1807" width="8" style="42" customWidth="1"/>
    <col min="1808" max="1808" width="13.28515625" style="42" customWidth="1"/>
    <col min="1809" max="1809" width="14.28515625" style="42" customWidth="1"/>
    <col min="1810" max="1810" width="13.42578125" style="42" customWidth="1"/>
    <col min="1811" max="1811" width="10.7109375" style="42" customWidth="1"/>
    <col min="1812" max="1812" width="11.42578125" style="42" customWidth="1"/>
    <col min="1813" max="1813" width="13" style="42" customWidth="1"/>
    <col min="1814" max="1814" width="17.85546875" style="42" customWidth="1"/>
    <col min="1815" max="2048" width="8.85546875" style="42"/>
    <col min="2049" max="2049" width="6.7109375" style="42" customWidth="1"/>
    <col min="2050" max="2050" width="39.85546875" style="42" customWidth="1"/>
    <col min="2051" max="2051" width="12.42578125" style="42" customWidth="1"/>
    <col min="2052" max="2052" width="13.42578125" style="42" customWidth="1"/>
    <col min="2053" max="2053" width="13.7109375" style="42" customWidth="1"/>
    <col min="2054" max="2054" width="12.85546875" style="42" customWidth="1"/>
    <col min="2055" max="2055" width="8.7109375" style="42" customWidth="1"/>
    <col min="2056" max="2056" width="13.140625" style="42" customWidth="1"/>
    <col min="2057" max="2057" width="11.28515625" style="42" customWidth="1"/>
    <col min="2058" max="2058" width="13.42578125" style="42" customWidth="1"/>
    <col min="2059" max="2059" width="8.28515625" style="42" customWidth="1"/>
    <col min="2060" max="2061" width="11.42578125" style="42" customWidth="1"/>
    <col min="2062" max="2062" width="13.5703125" style="42" customWidth="1"/>
    <col min="2063" max="2063" width="8" style="42" customWidth="1"/>
    <col min="2064" max="2064" width="13.28515625" style="42" customWidth="1"/>
    <col min="2065" max="2065" width="14.28515625" style="42" customWidth="1"/>
    <col min="2066" max="2066" width="13.42578125" style="42" customWidth="1"/>
    <col min="2067" max="2067" width="10.7109375" style="42" customWidth="1"/>
    <col min="2068" max="2068" width="11.42578125" style="42" customWidth="1"/>
    <col min="2069" max="2069" width="13" style="42" customWidth="1"/>
    <col min="2070" max="2070" width="17.85546875" style="42" customWidth="1"/>
    <col min="2071" max="2304" width="8.85546875" style="42"/>
    <col min="2305" max="2305" width="6.7109375" style="42" customWidth="1"/>
    <col min="2306" max="2306" width="39.85546875" style="42" customWidth="1"/>
    <col min="2307" max="2307" width="12.42578125" style="42" customWidth="1"/>
    <col min="2308" max="2308" width="13.42578125" style="42" customWidth="1"/>
    <col min="2309" max="2309" width="13.7109375" style="42" customWidth="1"/>
    <col min="2310" max="2310" width="12.85546875" style="42" customWidth="1"/>
    <col min="2311" max="2311" width="8.7109375" style="42" customWidth="1"/>
    <col min="2312" max="2312" width="13.140625" style="42" customWidth="1"/>
    <col min="2313" max="2313" width="11.28515625" style="42" customWidth="1"/>
    <col min="2314" max="2314" width="13.42578125" style="42" customWidth="1"/>
    <col min="2315" max="2315" width="8.28515625" style="42" customWidth="1"/>
    <col min="2316" max="2317" width="11.42578125" style="42" customWidth="1"/>
    <col min="2318" max="2318" width="13.5703125" style="42" customWidth="1"/>
    <col min="2319" max="2319" width="8" style="42" customWidth="1"/>
    <col min="2320" max="2320" width="13.28515625" style="42" customWidth="1"/>
    <col min="2321" max="2321" width="14.28515625" style="42" customWidth="1"/>
    <col min="2322" max="2322" width="13.42578125" style="42" customWidth="1"/>
    <col min="2323" max="2323" width="10.7109375" style="42" customWidth="1"/>
    <col min="2324" max="2324" width="11.42578125" style="42" customWidth="1"/>
    <col min="2325" max="2325" width="13" style="42" customWidth="1"/>
    <col min="2326" max="2326" width="17.85546875" style="42" customWidth="1"/>
    <col min="2327" max="2560" width="8.85546875" style="42"/>
    <col min="2561" max="2561" width="6.7109375" style="42" customWidth="1"/>
    <col min="2562" max="2562" width="39.85546875" style="42" customWidth="1"/>
    <col min="2563" max="2563" width="12.42578125" style="42" customWidth="1"/>
    <col min="2564" max="2564" width="13.42578125" style="42" customWidth="1"/>
    <col min="2565" max="2565" width="13.7109375" style="42" customWidth="1"/>
    <col min="2566" max="2566" width="12.85546875" style="42" customWidth="1"/>
    <col min="2567" max="2567" width="8.7109375" style="42" customWidth="1"/>
    <col min="2568" max="2568" width="13.140625" style="42" customWidth="1"/>
    <col min="2569" max="2569" width="11.28515625" style="42" customWidth="1"/>
    <col min="2570" max="2570" width="13.42578125" style="42" customWidth="1"/>
    <col min="2571" max="2571" width="8.28515625" style="42" customWidth="1"/>
    <col min="2572" max="2573" width="11.42578125" style="42" customWidth="1"/>
    <col min="2574" max="2574" width="13.5703125" style="42" customWidth="1"/>
    <col min="2575" max="2575" width="8" style="42" customWidth="1"/>
    <col min="2576" max="2576" width="13.28515625" style="42" customWidth="1"/>
    <col min="2577" max="2577" width="14.28515625" style="42" customWidth="1"/>
    <col min="2578" max="2578" width="13.42578125" style="42" customWidth="1"/>
    <col min="2579" max="2579" width="10.7109375" style="42" customWidth="1"/>
    <col min="2580" max="2580" width="11.42578125" style="42" customWidth="1"/>
    <col min="2581" max="2581" width="13" style="42" customWidth="1"/>
    <col min="2582" max="2582" width="17.85546875" style="42" customWidth="1"/>
    <col min="2583" max="2816" width="8.85546875" style="42"/>
    <col min="2817" max="2817" width="6.7109375" style="42" customWidth="1"/>
    <col min="2818" max="2818" width="39.85546875" style="42" customWidth="1"/>
    <col min="2819" max="2819" width="12.42578125" style="42" customWidth="1"/>
    <col min="2820" max="2820" width="13.42578125" style="42" customWidth="1"/>
    <col min="2821" max="2821" width="13.7109375" style="42" customWidth="1"/>
    <col min="2822" max="2822" width="12.85546875" style="42" customWidth="1"/>
    <col min="2823" max="2823" width="8.7109375" style="42" customWidth="1"/>
    <col min="2824" max="2824" width="13.140625" style="42" customWidth="1"/>
    <col min="2825" max="2825" width="11.28515625" style="42" customWidth="1"/>
    <col min="2826" max="2826" width="13.42578125" style="42" customWidth="1"/>
    <col min="2827" max="2827" width="8.28515625" style="42" customWidth="1"/>
    <col min="2828" max="2829" width="11.42578125" style="42" customWidth="1"/>
    <col min="2830" max="2830" width="13.5703125" style="42" customWidth="1"/>
    <col min="2831" max="2831" width="8" style="42" customWidth="1"/>
    <col min="2832" max="2832" width="13.28515625" style="42" customWidth="1"/>
    <col min="2833" max="2833" width="14.28515625" style="42" customWidth="1"/>
    <col min="2834" max="2834" width="13.42578125" style="42" customWidth="1"/>
    <col min="2835" max="2835" width="10.7109375" style="42" customWidth="1"/>
    <col min="2836" max="2836" width="11.42578125" style="42" customWidth="1"/>
    <col min="2837" max="2837" width="13" style="42" customWidth="1"/>
    <col min="2838" max="2838" width="17.85546875" style="42" customWidth="1"/>
    <col min="2839" max="3072" width="8.85546875" style="42"/>
    <col min="3073" max="3073" width="6.7109375" style="42" customWidth="1"/>
    <col min="3074" max="3074" width="39.85546875" style="42" customWidth="1"/>
    <col min="3075" max="3075" width="12.42578125" style="42" customWidth="1"/>
    <col min="3076" max="3076" width="13.42578125" style="42" customWidth="1"/>
    <col min="3077" max="3077" width="13.7109375" style="42" customWidth="1"/>
    <col min="3078" max="3078" width="12.85546875" style="42" customWidth="1"/>
    <col min="3079" max="3079" width="8.7109375" style="42" customWidth="1"/>
    <col min="3080" max="3080" width="13.140625" style="42" customWidth="1"/>
    <col min="3081" max="3081" width="11.28515625" style="42" customWidth="1"/>
    <col min="3082" max="3082" width="13.42578125" style="42" customWidth="1"/>
    <col min="3083" max="3083" width="8.28515625" style="42" customWidth="1"/>
    <col min="3084" max="3085" width="11.42578125" style="42" customWidth="1"/>
    <col min="3086" max="3086" width="13.5703125" style="42" customWidth="1"/>
    <col min="3087" max="3087" width="8" style="42" customWidth="1"/>
    <col min="3088" max="3088" width="13.28515625" style="42" customWidth="1"/>
    <col min="3089" max="3089" width="14.28515625" style="42" customWidth="1"/>
    <col min="3090" max="3090" width="13.42578125" style="42" customWidth="1"/>
    <col min="3091" max="3091" width="10.7109375" style="42" customWidth="1"/>
    <col min="3092" max="3092" width="11.42578125" style="42" customWidth="1"/>
    <col min="3093" max="3093" width="13" style="42" customWidth="1"/>
    <col min="3094" max="3094" width="17.85546875" style="42" customWidth="1"/>
    <col min="3095" max="3328" width="8.85546875" style="42"/>
    <col min="3329" max="3329" width="6.7109375" style="42" customWidth="1"/>
    <col min="3330" max="3330" width="39.85546875" style="42" customWidth="1"/>
    <col min="3331" max="3331" width="12.42578125" style="42" customWidth="1"/>
    <col min="3332" max="3332" width="13.42578125" style="42" customWidth="1"/>
    <col min="3333" max="3333" width="13.7109375" style="42" customWidth="1"/>
    <col min="3334" max="3334" width="12.85546875" style="42" customWidth="1"/>
    <col min="3335" max="3335" width="8.7109375" style="42" customWidth="1"/>
    <col min="3336" max="3336" width="13.140625" style="42" customWidth="1"/>
    <col min="3337" max="3337" width="11.28515625" style="42" customWidth="1"/>
    <col min="3338" max="3338" width="13.42578125" style="42" customWidth="1"/>
    <col min="3339" max="3339" width="8.28515625" style="42" customWidth="1"/>
    <col min="3340" max="3341" width="11.42578125" style="42" customWidth="1"/>
    <col min="3342" max="3342" width="13.5703125" style="42" customWidth="1"/>
    <col min="3343" max="3343" width="8" style="42" customWidth="1"/>
    <col min="3344" max="3344" width="13.28515625" style="42" customWidth="1"/>
    <col min="3345" max="3345" width="14.28515625" style="42" customWidth="1"/>
    <col min="3346" max="3346" width="13.42578125" style="42" customWidth="1"/>
    <col min="3347" max="3347" width="10.7109375" style="42" customWidth="1"/>
    <col min="3348" max="3348" width="11.42578125" style="42" customWidth="1"/>
    <col min="3349" max="3349" width="13" style="42" customWidth="1"/>
    <col min="3350" max="3350" width="17.85546875" style="42" customWidth="1"/>
    <col min="3351" max="3584" width="8.85546875" style="42"/>
    <col min="3585" max="3585" width="6.7109375" style="42" customWidth="1"/>
    <col min="3586" max="3586" width="39.85546875" style="42" customWidth="1"/>
    <col min="3587" max="3587" width="12.42578125" style="42" customWidth="1"/>
    <col min="3588" max="3588" width="13.42578125" style="42" customWidth="1"/>
    <col min="3589" max="3589" width="13.7109375" style="42" customWidth="1"/>
    <col min="3590" max="3590" width="12.85546875" style="42" customWidth="1"/>
    <col min="3591" max="3591" width="8.7109375" style="42" customWidth="1"/>
    <col min="3592" max="3592" width="13.140625" style="42" customWidth="1"/>
    <col min="3593" max="3593" width="11.28515625" style="42" customWidth="1"/>
    <col min="3594" max="3594" width="13.42578125" style="42" customWidth="1"/>
    <col min="3595" max="3595" width="8.28515625" style="42" customWidth="1"/>
    <col min="3596" max="3597" width="11.42578125" style="42" customWidth="1"/>
    <col min="3598" max="3598" width="13.5703125" style="42" customWidth="1"/>
    <col min="3599" max="3599" width="8" style="42" customWidth="1"/>
    <col min="3600" max="3600" width="13.28515625" style="42" customWidth="1"/>
    <col min="3601" max="3601" width="14.28515625" style="42" customWidth="1"/>
    <col min="3602" max="3602" width="13.42578125" style="42" customWidth="1"/>
    <col min="3603" max="3603" width="10.7109375" style="42" customWidth="1"/>
    <col min="3604" max="3604" width="11.42578125" style="42" customWidth="1"/>
    <col min="3605" max="3605" width="13" style="42" customWidth="1"/>
    <col min="3606" max="3606" width="17.85546875" style="42" customWidth="1"/>
    <col min="3607" max="3840" width="8.85546875" style="42"/>
    <col min="3841" max="3841" width="6.7109375" style="42" customWidth="1"/>
    <col min="3842" max="3842" width="39.85546875" style="42" customWidth="1"/>
    <col min="3843" max="3843" width="12.42578125" style="42" customWidth="1"/>
    <col min="3844" max="3844" width="13.42578125" style="42" customWidth="1"/>
    <col min="3845" max="3845" width="13.7109375" style="42" customWidth="1"/>
    <col min="3846" max="3846" width="12.85546875" style="42" customWidth="1"/>
    <col min="3847" max="3847" width="8.7109375" style="42" customWidth="1"/>
    <col min="3848" max="3848" width="13.140625" style="42" customWidth="1"/>
    <col min="3849" max="3849" width="11.28515625" style="42" customWidth="1"/>
    <col min="3850" max="3850" width="13.42578125" style="42" customWidth="1"/>
    <col min="3851" max="3851" width="8.28515625" style="42" customWidth="1"/>
    <col min="3852" max="3853" width="11.42578125" style="42" customWidth="1"/>
    <col min="3854" max="3854" width="13.5703125" style="42" customWidth="1"/>
    <col min="3855" max="3855" width="8" style="42" customWidth="1"/>
    <col min="3856" max="3856" width="13.28515625" style="42" customWidth="1"/>
    <col min="3857" max="3857" width="14.28515625" style="42" customWidth="1"/>
    <col min="3858" max="3858" width="13.42578125" style="42" customWidth="1"/>
    <col min="3859" max="3859" width="10.7109375" style="42" customWidth="1"/>
    <col min="3860" max="3860" width="11.42578125" style="42" customWidth="1"/>
    <col min="3861" max="3861" width="13" style="42" customWidth="1"/>
    <col min="3862" max="3862" width="17.85546875" style="42" customWidth="1"/>
    <col min="3863" max="4096" width="8.85546875" style="42"/>
    <col min="4097" max="4097" width="6.7109375" style="42" customWidth="1"/>
    <col min="4098" max="4098" width="39.85546875" style="42" customWidth="1"/>
    <col min="4099" max="4099" width="12.42578125" style="42" customWidth="1"/>
    <col min="4100" max="4100" width="13.42578125" style="42" customWidth="1"/>
    <col min="4101" max="4101" width="13.7109375" style="42" customWidth="1"/>
    <col min="4102" max="4102" width="12.85546875" style="42" customWidth="1"/>
    <col min="4103" max="4103" width="8.7109375" style="42" customWidth="1"/>
    <col min="4104" max="4104" width="13.140625" style="42" customWidth="1"/>
    <col min="4105" max="4105" width="11.28515625" style="42" customWidth="1"/>
    <col min="4106" max="4106" width="13.42578125" style="42" customWidth="1"/>
    <col min="4107" max="4107" width="8.28515625" style="42" customWidth="1"/>
    <col min="4108" max="4109" width="11.42578125" style="42" customWidth="1"/>
    <col min="4110" max="4110" width="13.5703125" style="42" customWidth="1"/>
    <col min="4111" max="4111" width="8" style="42" customWidth="1"/>
    <col min="4112" max="4112" width="13.28515625" style="42" customWidth="1"/>
    <col min="4113" max="4113" width="14.28515625" style="42" customWidth="1"/>
    <col min="4114" max="4114" width="13.42578125" style="42" customWidth="1"/>
    <col min="4115" max="4115" width="10.7109375" style="42" customWidth="1"/>
    <col min="4116" max="4116" width="11.42578125" style="42" customWidth="1"/>
    <col min="4117" max="4117" width="13" style="42" customWidth="1"/>
    <col min="4118" max="4118" width="17.85546875" style="42" customWidth="1"/>
    <col min="4119" max="4352" width="8.85546875" style="42"/>
    <col min="4353" max="4353" width="6.7109375" style="42" customWidth="1"/>
    <col min="4354" max="4354" width="39.85546875" style="42" customWidth="1"/>
    <col min="4355" max="4355" width="12.42578125" style="42" customWidth="1"/>
    <col min="4356" max="4356" width="13.42578125" style="42" customWidth="1"/>
    <col min="4357" max="4357" width="13.7109375" style="42" customWidth="1"/>
    <col min="4358" max="4358" width="12.85546875" style="42" customWidth="1"/>
    <col min="4359" max="4359" width="8.7109375" style="42" customWidth="1"/>
    <col min="4360" max="4360" width="13.140625" style="42" customWidth="1"/>
    <col min="4361" max="4361" width="11.28515625" style="42" customWidth="1"/>
    <col min="4362" max="4362" width="13.42578125" style="42" customWidth="1"/>
    <col min="4363" max="4363" width="8.28515625" style="42" customWidth="1"/>
    <col min="4364" max="4365" width="11.42578125" style="42" customWidth="1"/>
    <col min="4366" max="4366" width="13.5703125" style="42" customWidth="1"/>
    <col min="4367" max="4367" width="8" style="42" customWidth="1"/>
    <col min="4368" max="4368" width="13.28515625" style="42" customWidth="1"/>
    <col min="4369" max="4369" width="14.28515625" style="42" customWidth="1"/>
    <col min="4370" max="4370" width="13.42578125" style="42" customWidth="1"/>
    <col min="4371" max="4371" width="10.7109375" style="42" customWidth="1"/>
    <col min="4372" max="4372" width="11.42578125" style="42" customWidth="1"/>
    <col min="4373" max="4373" width="13" style="42" customWidth="1"/>
    <col min="4374" max="4374" width="17.85546875" style="42" customWidth="1"/>
    <col min="4375" max="4608" width="8.85546875" style="42"/>
    <col min="4609" max="4609" width="6.7109375" style="42" customWidth="1"/>
    <col min="4610" max="4610" width="39.85546875" style="42" customWidth="1"/>
    <col min="4611" max="4611" width="12.42578125" style="42" customWidth="1"/>
    <col min="4612" max="4612" width="13.42578125" style="42" customWidth="1"/>
    <col min="4613" max="4613" width="13.7109375" style="42" customWidth="1"/>
    <col min="4614" max="4614" width="12.85546875" style="42" customWidth="1"/>
    <col min="4615" max="4615" width="8.7109375" style="42" customWidth="1"/>
    <col min="4616" max="4616" width="13.140625" style="42" customWidth="1"/>
    <col min="4617" max="4617" width="11.28515625" style="42" customWidth="1"/>
    <col min="4618" max="4618" width="13.42578125" style="42" customWidth="1"/>
    <col min="4619" max="4619" width="8.28515625" style="42" customWidth="1"/>
    <col min="4620" max="4621" width="11.42578125" style="42" customWidth="1"/>
    <col min="4622" max="4622" width="13.5703125" style="42" customWidth="1"/>
    <col min="4623" max="4623" width="8" style="42" customWidth="1"/>
    <col min="4624" max="4624" width="13.28515625" style="42" customWidth="1"/>
    <col min="4625" max="4625" width="14.28515625" style="42" customWidth="1"/>
    <col min="4626" max="4626" width="13.42578125" style="42" customWidth="1"/>
    <col min="4627" max="4627" width="10.7109375" style="42" customWidth="1"/>
    <col min="4628" max="4628" width="11.42578125" style="42" customWidth="1"/>
    <col min="4629" max="4629" width="13" style="42" customWidth="1"/>
    <col min="4630" max="4630" width="17.85546875" style="42" customWidth="1"/>
    <col min="4631" max="4864" width="8.85546875" style="42"/>
    <col min="4865" max="4865" width="6.7109375" style="42" customWidth="1"/>
    <col min="4866" max="4866" width="39.85546875" style="42" customWidth="1"/>
    <col min="4867" max="4867" width="12.42578125" style="42" customWidth="1"/>
    <col min="4868" max="4868" width="13.42578125" style="42" customWidth="1"/>
    <col min="4869" max="4869" width="13.7109375" style="42" customWidth="1"/>
    <col min="4870" max="4870" width="12.85546875" style="42" customWidth="1"/>
    <col min="4871" max="4871" width="8.7109375" style="42" customWidth="1"/>
    <col min="4872" max="4872" width="13.140625" style="42" customWidth="1"/>
    <col min="4873" max="4873" width="11.28515625" style="42" customWidth="1"/>
    <col min="4874" max="4874" width="13.42578125" style="42" customWidth="1"/>
    <col min="4875" max="4875" width="8.28515625" style="42" customWidth="1"/>
    <col min="4876" max="4877" width="11.42578125" style="42" customWidth="1"/>
    <col min="4878" max="4878" width="13.5703125" style="42" customWidth="1"/>
    <col min="4879" max="4879" width="8" style="42" customWidth="1"/>
    <col min="4880" max="4880" width="13.28515625" style="42" customWidth="1"/>
    <col min="4881" max="4881" width="14.28515625" style="42" customWidth="1"/>
    <col min="4882" max="4882" width="13.42578125" style="42" customWidth="1"/>
    <col min="4883" max="4883" width="10.7109375" style="42" customWidth="1"/>
    <col min="4884" max="4884" width="11.42578125" style="42" customWidth="1"/>
    <col min="4885" max="4885" width="13" style="42" customWidth="1"/>
    <col min="4886" max="4886" width="17.85546875" style="42" customWidth="1"/>
    <col min="4887" max="5120" width="8.85546875" style="42"/>
    <col min="5121" max="5121" width="6.7109375" style="42" customWidth="1"/>
    <col min="5122" max="5122" width="39.85546875" style="42" customWidth="1"/>
    <col min="5123" max="5123" width="12.42578125" style="42" customWidth="1"/>
    <col min="5124" max="5124" width="13.42578125" style="42" customWidth="1"/>
    <col min="5125" max="5125" width="13.7109375" style="42" customWidth="1"/>
    <col min="5126" max="5126" width="12.85546875" style="42" customWidth="1"/>
    <col min="5127" max="5127" width="8.7109375" style="42" customWidth="1"/>
    <col min="5128" max="5128" width="13.140625" style="42" customWidth="1"/>
    <col min="5129" max="5129" width="11.28515625" style="42" customWidth="1"/>
    <col min="5130" max="5130" width="13.42578125" style="42" customWidth="1"/>
    <col min="5131" max="5131" width="8.28515625" style="42" customWidth="1"/>
    <col min="5132" max="5133" width="11.42578125" style="42" customWidth="1"/>
    <col min="5134" max="5134" width="13.5703125" style="42" customWidth="1"/>
    <col min="5135" max="5135" width="8" style="42" customWidth="1"/>
    <col min="5136" max="5136" width="13.28515625" style="42" customWidth="1"/>
    <col min="5137" max="5137" width="14.28515625" style="42" customWidth="1"/>
    <col min="5138" max="5138" width="13.42578125" style="42" customWidth="1"/>
    <col min="5139" max="5139" width="10.7109375" style="42" customWidth="1"/>
    <col min="5140" max="5140" width="11.42578125" style="42" customWidth="1"/>
    <col min="5141" max="5141" width="13" style="42" customWidth="1"/>
    <col min="5142" max="5142" width="17.85546875" style="42" customWidth="1"/>
    <col min="5143" max="5376" width="8.85546875" style="42"/>
    <col min="5377" max="5377" width="6.7109375" style="42" customWidth="1"/>
    <col min="5378" max="5378" width="39.85546875" style="42" customWidth="1"/>
    <col min="5379" max="5379" width="12.42578125" style="42" customWidth="1"/>
    <col min="5380" max="5380" width="13.42578125" style="42" customWidth="1"/>
    <col min="5381" max="5381" width="13.7109375" style="42" customWidth="1"/>
    <col min="5382" max="5382" width="12.85546875" style="42" customWidth="1"/>
    <col min="5383" max="5383" width="8.7109375" style="42" customWidth="1"/>
    <col min="5384" max="5384" width="13.140625" style="42" customWidth="1"/>
    <col min="5385" max="5385" width="11.28515625" style="42" customWidth="1"/>
    <col min="5386" max="5386" width="13.42578125" style="42" customWidth="1"/>
    <col min="5387" max="5387" width="8.28515625" style="42" customWidth="1"/>
    <col min="5388" max="5389" width="11.42578125" style="42" customWidth="1"/>
    <col min="5390" max="5390" width="13.5703125" style="42" customWidth="1"/>
    <col min="5391" max="5391" width="8" style="42" customWidth="1"/>
    <col min="5392" max="5392" width="13.28515625" style="42" customWidth="1"/>
    <col min="5393" max="5393" width="14.28515625" style="42" customWidth="1"/>
    <col min="5394" max="5394" width="13.42578125" style="42" customWidth="1"/>
    <col min="5395" max="5395" width="10.7109375" style="42" customWidth="1"/>
    <col min="5396" max="5396" width="11.42578125" style="42" customWidth="1"/>
    <col min="5397" max="5397" width="13" style="42" customWidth="1"/>
    <col min="5398" max="5398" width="17.85546875" style="42" customWidth="1"/>
    <col min="5399" max="5632" width="8.85546875" style="42"/>
    <col min="5633" max="5633" width="6.7109375" style="42" customWidth="1"/>
    <col min="5634" max="5634" width="39.85546875" style="42" customWidth="1"/>
    <col min="5635" max="5635" width="12.42578125" style="42" customWidth="1"/>
    <col min="5636" max="5636" width="13.42578125" style="42" customWidth="1"/>
    <col min="5637" max="5637" width="13.7109375" style="42" customWidth="1"/>
    <col min="5638" max="5638" width="12.85546875" style="42" customWidth="1"/>
    <col min="5639" max="5639" width="8.7109375" style="42" customWidth="1"/>
    <col min="5640" max="5640" width="13.140625" style="42" customWidth="1"/>
    <col min="5641" max="5641" width="11.28515625" style="42" customWidth="1"/>
    <col min="5642" max="5642" width="13.42578125" style="42" customWidth="1"/>
    <col min="5643" max="5643" width="8.28515625" style="42" customWidth="1"/>
    <col min="5644" max="5645" width="11.42578125" style="42" customWidth="1"/>
    <col min="5646" max="5646" width="13.5703125" style="42" customWidth="1"/>
    <col min="5647" max="5647" width="8" style="42" customWidth="1"/>
    <col min="5648" max="5648" width="13.28515625" style="42" customWidth="1"/>
    <col min="5649" max="5649" width="14.28515625" style="42" customWidth="1"/>
    <col min="5650" max="5650" width="13.42578125" style="42" customWidth="1"/>
    <col min="5651" max="5651" width="10.7109375" style="42" customWidth="1"/>
    <col min="5652" max="5652" width="11.42578125" style="42" customWidth="1"/>
    <col min="5653" max="5653" width="13" style="42" customWidth="1"/>
    <col min="5654" max="5654" width="17.85546875" style="42" customWidth="1"/>
    <col min="5655" max="5888" width="8.85546875" style="42"/>
    <col min="5889" max="5889" width="6.7109375" style="42" customWidth="1"/>
    <col min="5890" max="5890" width="39.85546875" style="42" customWidth="1"/>
    <col min="5891" max="5891" width="12.42578125" style="42" customWidth="1"/>
    <col min="5892" max="5892" width="13.42578125" style="42" customWidth="1"/>
    <col min="5893" max="5893" width="13.7109375" style="42" customWidth="1"/>
    <col min="5894" max="5894" width="12.85546875" style="42" customWidth="1"/>
    <col min="5895" max="5895" width="8.7109375" style="42" customWidth="1"/>
    <col min="5896" max="5896" width="13.140625" style="42" customWidth="1"/>
    <col min="5897" max="5897" width="11.28515625" style="42" customWidth="1"/>
    <col min="5898" max="5898" width="13.42578125" style="42" customWidth="1"/>
    <col min="5899" max="5899" width="8.28515625" style="42" customWidth="1"/>
    <col min="5900" max="5901" width="11.42578125" style="42" customWidth="1"/>
    <col min="5902" max="5902" width="13.5703125" style="42" customWidth="1"/>
    <col min="5903" max="5903" width="8" style="42" customWidth="1"/>
    <col min="5904" max="5904" width="13.28515625" style="42" customWidth="1"/>
    <col min="5905" max="5905" width="14.28515625" style="42" customWidth="1"/>
    <col min="5906" max="5906" width="13.42578125" style="42" customWidth="1"/>
    <col min="5907" max="5907" width="10.7109375" style="42" customWidth="1"/>
    <col min="5908" max="5908" width="11.42578125" style="42" customWidth="1"/>
    <col min="5909" max="5909" width="13" style="42" customWidth="1"/>
    <col min="5910" max="5910" width="17.85546875" style="42" customWidth="1"/>
    <col min="5911" max="6144" width="8.85546875" style="42"/>
    <col min="6145" max="6145" width="6.7109375" style="42" customWidth="1"/>
    <col min="6146" max="6146" width="39.85546875" style="42" customWidth="1"/>
    <col min="6147" max="6147" width="12.42578125" style="42" customWidth="1"/>
    <col min="6148" max="6148" width="13.42578125" style="42" customWidth="1"/>
    <col min="6149" max="6149" width="13.7109375" style="42" customWidth="1"/>
    <col min="6150" max="6150" width="12.85546875" style="42" customWidth="1"/>
    <col min="6151" max="6151" width="8.7109375" style="42" customWidth="1"/>
    <col min="6152" max="6152" width="13.140625" style="42" customWidth="1"/>
    <col min="6153" max="6153" width="11.28515625" style="42" customWidth="1"/>
    <col min="6154" max="6154" width="13.42578125" style="42" customWidth="1"/>
    <col min="6155" max="6155" width="8.28515625" style="42" customWidth="1"/>
    <col min="6156" max="6157" width="11.42578125" style="42" customWidth="1"/>
    <col min="6158" max="6158" width="13.5703125" style="42" customWidth="1"/>
    <col min="6159" max="6159" width="8" style="42" customWidth="1"/>
    <col min="6160" max="6160" width="13.28515625" style="42" customWidth="1"/>
    <col min="6161" max="6161" width="14.28515625" style="42" customWidth="1"/>
    <col min="6162" max="6162" width="13.42578125" style="42" customWidth="1"/>
    <col min="6163" max="6163" width="10.7109375" style="42" customWidth="1"/>
    <col min="6164" max="6164" width="11.42578125" style="42" customWidth="1"/>
    <col min="6165" max="6165" width="13" style="42" customWidth="1"/>
    <col min="6166" max="6166" width="17.85546875" style="42" customWidth="1"/>
    <col min="6167" max="6400" width="8.85546875" style="42"/>
    <col min="6401" max="6401" width="6.7109375" style="42" customWidth="1"/>
    <col min="6402" max="6402" width="39.85546875" style="42" customWidth="1"/>
    <col min="6403" max="6403" width="12.42578125" style="42" customWidth="1"/>
    <col min="6404" max="6404" width="13.42578125" style="42" customWidth="1"/>
    <col min="6405" max="6405" width="13.7109375" style="42" customWidth="1"/>
    <col min="6406" max="6406" width="12.85546875" style="42" customWidth="1"/>
    <col min="6407" max="6407" width="8.7109375" style="42" customWidth="1"/>
    <col min="6408" max="6408" width="13.140625" style="42" customWidth="1"/>
    <col min="6409" max="6409" width="11.28515625" style="42" customWidth="1"/>
    <col min="6410" max="6410" width="13.42578125" style="42" customWidth="1"/>
    <col min="6411" max="6411" width="8.28515625" style="42" customWidth="1"/>
    <col min="6412" max="6413" width="11.42578125" style="42" customWidth="1"/>
    <col min="6414" max="6414" width="13.5703125" style="42" customWidth="1"/>
    <col min="6415" max="6415" width="8" style="42" customWidth="1"/>
    <col min="6416" max="6416" width="13.28515625" style="42" customWidth="1"/>
    <col min="6417" max="6417" width="14.28515625" style="42" customWidth="1"/>
    <col min="6418" max="6418" width="13.42578125" style="42" customWidth="1"/>
    <col min="6419" max="6419" width="10.7109375" style="42" customWidth="1"/>
    <col min="6420" max="6420" width="11.42578125" style="42" customWidth="1"/>
    <col min="6421" max="6421" width="13" style="42" customWidth="1"/>
    <col min="6422" max="6422" width="17.85546875" style="42" customWidth="1"/>
    <col min="6423" max="6656" width="8.85546875" style="42"/>
    <col min="6657" max="6657" width="6.7109375" style="42" customWidth="1"/>
    <col min="6658" max="6658" width="39.85546875" style="42" customWidth="1"/>
    <col min="6659" max="6659" width="12.42578125" style="42" customWidth="1"/>
    <col min="6660" max="6660" width="13.42578125" style="42" customWidth="1"/>
    <col min="6661" max="6661" width="13.7109375" style="42" customWidth="1"/>
    <col min="6662" max="6662" width="12.85546875" style="42" customWidth="1"/>
    <col min="6663" max="6663" width="8.7109375" style="42" customWidth="1"/>
    <col min="6664" max="6664" width="13.140625" style="42" customWidth="1"/>
    <col min="6665" max="6665" width="11.28515625" style="42" customWidth="1"/>
    <col min="6666" max="6666" width="13.42578125" style="42" customWidth="1"/>
    <col min="6667" max="6667" width="8.28515625" style="42" customWidth="1"/>
    <col min="6668" max="6669" width="11.42578125" style="42" customWidth="1"/>
    <col min="6670" max="6670" width="13.5703125" style="42" customWidth="1"/>
    <col min="6671" max="6671" width="8" style="42" customWidth="1"/>
    <col min="6672" max="6672" width="13.28515625" style="42" customWidth="1"/>
    <col min="6673" max="6673" width="14.28515625" style="42" customWidth="1"/>
    <col min="6674" max="6674" width="13.42578125" style="42" customWidth="1"/>
    <col min="6675" max="6675" width="10.7109375" style="42" customWidth="1"/>
    <col min="6676" max="6676" width="11.42578125" style="42" customWidth="1"/>
    <col min="6677" max="6677" width="13" style="42" customWidth="1"/>
    <col min="6678" max="6678" width="17.85546875" style="42" customWidth="1"/>
    <col min="6679" max="6912" width="8.85546875" style="42"/>
    <col min="6913" max="6913" width="6.7109375" style="42" customWidth="1"/>
    <col min="6914" max="6914" width="39.85546875" style="42" customWidth="1"/>
    <col min="6915" max="6915" width="12.42578125" style="42" customWidth="1"/>
    <col min="6916" max="6916" width="13.42578125" style="42" customWidth="1"/>
    <col min="6917" max="6917" width="13.7109375" style="42" customWidth="1"/>
    <col min="6918" max="6918" width="12.85546875" style="42" customWidth="1"/>
    <col min="6919" max="6919" width="8.7109375" style="42" customWidth="1"/>
    <col min="6920" max="6920" width="13.140625" style="42" customWidth="1"/>
    <col min="6921" max="6921" width="11.28515625" style="42" customWidth="1"/>
    <col min="6922" max="6922" width="13.42578125" style="42" customWidth="1"/>
    <col min="6923" max="6923" width="8.28515625" style="42" customWidth="1"/>
    <col min="6924" max="6925" width="11.42578125" style="42" customWidth="1"/>
    <col min="6926" max="6926" width="13.5703125" style="42" customWidth="1"/>
    <col min="6927" max="6927" width="8" style="42" customWidth="1"/>
    <col min="6928" max="6928" width="13.28515625" style="42" customWidth="1"/>
    <col min="6929" max="6929" width="14.28515625" style="42" customWidth="1"/>
    <col min="6930" max="6930" width="13.42578125" style="42" customWidth="1"/>
    <col min="6931" max="6931" width="10.7109375" style="42" customWidth="1"/>
    <col min="6932" max="6932" width="11.42578125" style="42" customWidth="1"/>
    <col min="6933" max="6933" width="13" style="42" customWidth="1"/>
    <col min="6934" max="6934" width="17.85546875" style="42" customWidth="1"/>
    <col min="6935" max="7168" width="8.85546875" style="42"/>
    <col min="7169" max="7169" width="6.7109375" style="42" customWidth="1"/>
    <col min="7170" max="7170" width="39.85546875" style="42" customWidth="1"/>
    <col min="7171" max="7171" width="12.42578125" style="42" customWidth="1"/>
    <col min="7172" max="7172" width="13.42578125" style="42" customWidth="1"/>
    <col min="7173" max="7173" width="13.7109375" style="42" customWidth="1"/>
    <col min="7174" max="7174" width="12.85546875" style="42" customWidth="1"/>
    <col min="7175" max="7175" width="8.7109375" style="42" customWidth="1"/>
    <col min="7176" max="7176" width="13.140625" style="42" customWidth="1"/>
    <col min="7177" max="7177" width="11.28515625" style="42" customWidth="1"/>
    <col min="7178" max="7178" width="13.42578125" style="42" customWidth="1"/>
    <col min="7179" max="7179" width="8.28515625" style="42" customWidth="1"/>
    <col min="7180" max="7181" width="11.42578125" style="42" customWidth="1"/>
    <col min="7182" max="7182" width="13.5703125" style="42" customWidth="1"/>
    <col min="7183" max="7183" width="8" style="42" customWidth="1"/>
    <col min="7184" max="7184" width="13.28515625" style="42" customWidth="1"/>
    <col min="7185" max="7185" width="14.28515625" style="42" customWidth="1"/>
    <col min="7186" max="7186" width="13.42578125" style="42" customWidth="1"/>
    <col min="7187" max="7187" width="10.7109375" style="42" customWidth="1"/>
    <col min="7188" max="7188" width="11.42578125" style="42" customWidth="1"/>
    <col min="7189" max="7189" width="13" style="42" customWidth="1"/>
    <col min="7190" max="7190" width="17.85546875" style="42" customWidth="1"/>
    <col min="7191" max="7424" width="8.85546875" style="42"/>
    <col min="7425" max="7425" width="6.7109375" style="42" customWidth="1"/>
    <col min="7426" max="7426" width="39.85546875" style="42" customWidth="1"/>
    <col min="7427" max="7427" width="12.42578125" style="42" customWidth="1"/>
    <col min="7428" max="7428" width="13.42578125" style="42" customWidth="1"/>
    <col min="7429" max="7429" width="13.7109375" style="42" customWidth="1"/>
    <col min="7430" max="7430" width="12.85546875" style="42" customWidth="1"/>
    <col min="7431" max="7431" width="8.7109375" style="42" customWidth="1"/>
    <col min="7432" max="7432" width="13.140625" style="42" customWidth="1"/>
    <col min="7433" max="7433" width="11.28515625" style="42" customWidth="1"/>
    <col min="7434" max="7434" width="13.42578125" style="42" customWidth="1"/>
    <col min="7435" max="7435" width="8.28515625" style="42" customWidth="1"/>
    <col min="7436" max="7437" width="11.42578125" style="42" customWidth="1"/>
    <col min="7438" max="7438" width="13.5703125" style="42" customWidth="1"/>
    <col min="7439" max="7439" width="8" style="42" customWidth="1"/>
    <col min="7440" max="7440" width="13.28515625" style="42" customWidth="1"/>
    <col min="7441" max="7441" width="14.28515625" style="42" customWidth="1"/>
    <col min="7442" max="7442" width="13.42578125" style="42" customWidth="1"/>
    <col min="7443" max="7443" width="10.7109375" style="42" customWidth="1"/>
    <col min="7444" max="7444" width="11.42578125" style="42" customWidth="1"/>
    <col min="7445" max="7445" width="13" style="42" customWidth="1"/>
    <col min="7446" max="7446" width="17.85546875" style="42" customWidth="1"/>
    <col min="7447" max="7680" width="8.85546875" style="42"/>
    <col min="7681" max="7681" width="6.7109375" style="42" customWidth="1"/>
    <col min="7682" max="7682" width="39.85546875" style="42" customWidth="1"/>
    <col min="7683" max="7683" width="12.42578125" style="42" customWidth="1"/>
    <col min="7684" max="7684" width="13.42578125" style="42" customWidth="1"/>
    <col min="7685" max="7685" width="13.7109375" style="42" customWidth="1"/>
    <col min="7686" max="7686" width="12.85546875" style="42" customWidth="1"/>
    <col min="7687" max="7687" width="8.7109375" style="42" customWidth="1"/>
    <col min="7688" max="7688" width="13.140625" style="42" customWidth="1"/>
    <col min="7689" max="7689" width="11.28515625" style="42" customWidth="1"/>
    <col min="7690" max="7690" width="13.42578125" style="42" customWidth="1"/>
    <col min="7691" max="7691" width="8.28515625" style="42" customWidth="1"/>
    <col min="7692" max="7693" width="11.42578125" style="42" customWidth="1"/>
    <col min="7694" max="7694" width="13.5703125" style="42" customWidth="1"/>
    <col min="7695" max="7695" width="8" style="42" customWidth="1"/>
    <col min="7696" max="7696" width="13.28515625" style="42" customWidth="1"/>
    <col min="7697" max="7697" width="14.28515625" style="42" customWidth="1"/>
    <col min="7698" max="7698" width="13.42578125" style="42" customWidth="1"/>
    <col min="7699" max="7699" width="10.7109375" style="42" customWidth="1"/>
    <col min="7700" max="7700" width="11.42578125" style="42" customWidth="1"/>
    <col min="7701" max="7701" width="13" style="42" customWidth="1"/>
    <col min="7702" max="7702" width="17.85546875" style="42" customWidth="1"/>
    <col min="7703" max="7936" width="8.85546875" style="42"/>
    <col min="7937" max="7937" width="6.7109375" style="42" customWidth="1"/>
    <col min="7938" max="7938" width="39.85546875" style="42" customWidth="1"/>
    <col min="7939" max="7939" width="12.42578125" style="42" customWidth="1"/>
    <col min="7940" max="7940" width="13.42578125" style="42" customWidth="1"/>
    <col min="7941" max="7941" width="13.7109375" style="42" customWidth="1"/>
    <col min="7942" max="7942" width="12.85546875" style="42" customWidth="1"/>
    <col min="7943" max="7943" width="8.7109375" style="42" customWidth="1"/>
    <col min="7944" max="7944" width="13.140625" style="42" customWidth="1"/>
    <col min="7945" max="7945" width="11.28515625" style="42" customWidth="1"/>
    <col min="7946" max="7946" width="13.42578125" style="42" customWidth="1"/>
    <col min="7947" max="7947" width="8.28515625" style="42" customWidth="1"/>
    <col min="7948" max="7949" width="11.42578125" style="42" customWidth="1"/>
    <col min="7950" max="7950" width="13.5703125" style="42" customWidth="1"/>
    <col min="7951" max="7951" width="8" style="42" customWidth="1"/>
    <col min="7952" max="7952" width="13.28515625" style="42" customWidth="1"/>
    <col min="7953" max="7953" width="14.28515625" style="42" customWidth="1"/>
    <col min="7954" max="7954" width="13.42578125" style="42" customWidth="1"/>
    <col min="7955" max="7955" width="10.7109375" style="42" customWidth="1"/>
    <col min="7956" max="7956" width="11.42578125" style="42" customWidth="1"/>
    <col min="7957" max="7957" width="13" style="42" customWidth="1"/>
    <col min="7958" max="7958" width="17.85546875" style="42" customWidth="1"/>
    <col min="7959" max="8192" width="8.85546875" style="42"/>
    <col min="8193" max="8193" width="6.7109375" style="42" customWidth="1"/>
    <col min="8194" max="8194" width="39.85546875" style="42" customWidth="1"/>
    <col min="8195" max="8195" width="12.42578125" style="42" customWidth="1"/>
    <col min="8196" max="8196" width="13.42578125" style="42" customWidth="1"/>
    <col min="8197" max="8197" width="13.7109375" style="42" customWidth="1"/>
    <col min="8198" max="8198" width="12.85546875" style="42" customWidth="1"/>
    <col min="8199" max="8199" width="8.7109375" style="42" customWidth="1"/>
    <col min="8200" max="8200" width="13.140625" style="42" customWidth="1"/>
    <col min="8201" max="8201" width="11.28515625" style="42" customWidth="1"/>
    <col min="8202" max="8202" width="13.42578125" style="42" customWidth="1"/>
    <col min="8203" max="8203" width="8.28515625" style="42" customWidth="1"/>
    <col min="8204" max="8205" width="11.42578125" style="42" customWidth="1"/>
    <col min="8206" max="8206" width="13.5703125" style="42" customWidth="1"/>
    <col min="8207" max="8207" width="8" style="42" customWidth="1"/>
    <col min="8208" max="8208" width="13.28515625" style="42" customWidth="1"/>
    <col min="8209" max="8209" width="14.28515625" style="42" customWidth="1"/>
    <col min="8210" max="8210" width="13.42578125" style="42" customWidth="1"/>
    <col min="8211" max="8211" width="10.7109375" style="42" customWidth="1"/>
    <col min="8212" max="8212" width="11.42578125" style="42" customWidth="1"/>
    <col min="8213" max="8213" width="13" style="42" customWidth="1"/>
    <col min="8214" max="8214" width="17.85546875" style="42" customWidth="1"/>
    <col min="8215" max="8448" width="8.85546875" style="42"/>
    <col min="8449" max="8449" width="6.7109375" style="42" customWidth="1"/>
    <col min="8450" max="8450" width="39.85546875" style="42" customWidth="1"/>
    <col min="8451" max="8451" width="12.42578125" style="42" customWidth="1"/>
    <col min="8452" max="8452" width="13.42578125" style="42" customWidth="1"/>
    <col min="8453" max="8453" width="13.7109375" style="42" customWidth="1"/>
    <col min="8454" max="8454" width="12.85546875" style="42" customWidth="1"/>
    <col min="8455" max="8455" width="8.7109375" style="42" customWidth="1"/>
    <col min="8456" max="8456" width="13.140625" style="42" customWidth="1"/>
    <col min="8457" max="8457" width="11.28515625" style="42" customWidth="1"/>
    <col min="8458" max="8458" width="13.42578125" style="42" customWidth="1"/>
    <col min="8459" max="8459" width="8.28515625" style="42" customWidth="1"/>
    <col min="8460" max="8461" width="11.42578125" style="42" customWidth="1"/>
    <col min="8462" max="8462" width="13.5703125" style="42" customWidth="1"/>
    <col min="8463" max="8463" width="8" style="42" customWidth="1"/>
    <col min="8464" max="8464" width="13.28515625" style="42" customWidth="1"/>
    <col min="8465" max="8465" width="14.28515625" style="42" customWidth="1"/>
    <col min="8466" max="8466" width="13.42578125" style="42" customWidth="1"/>
    <col min="8467" max="8467" width="10.7109375" style="42" customWidth="1"/>
    <col min="8468" max="8468" width="11.42578125" style="42" customWidth="1"/>
    <col min="8469" max="8469" width="13" style="42" customWidth="1"/>
    <col min="8470" max="8470" width="17.85546875" style="42" customWidth="1"/>
    <col min="8471" max="8704" width="8.85546875" style="42"/>
    <col min="8705" max="8705" width="6.7109375" style="42" customWidth="1"/>
    <col min="8706" max="8706" width="39.85546875" style="42" customWidth="1"/>
    <col min="8707" max="8707" width="12.42578125" style="42" customWidth="1"/>
    <col min="8708" max="8708" width="13.42578125" style="42" customWidth="1"/>
    <col min="8709" max="8709" width="13.7109375" style="42" customWidth="1"/>
    <col min="8710" max="8710" width="12.85546875" style="42" customWidth="1"/>
    <col min="8711" max="8711" width="8.7109375" style="42" customWidth="1"/>
    <col min="8712" max="8712" width="13.140625" style="42" customWidth="1"/>
    <col min="8713" max="8713" width="11.28515625" style="42" customWidth="1"/>
    <col min="8714" max="8714" width="13.42578125" style="42" customWidth="1"/>
    <col min="8715" max="8715" width="8.28515625" style="42" customWidth="1"/>
    <col min="8716" max="8717" width="11.42578125" style="42" customWidth="1"/>
    <col min="8718" max="8718" width="13.5703125" style="42" customWidth="1"/>
    <col min="8719" max="8719" width="8" style="42" customWidth="1"/>
    <col min="8720" max="8720" width="13.28515625" style="42" customWidth="1"/>
    <col min="8721" max="8721" width="14.28515625" style="42" customWidth="1"/>
    <col min="8722" max="8722" width="13.42578125" style="42" customWidth="1"/>
    <col min="8723" max="8723" width="10.7109375" style="42" customWidth="1"/>
    <col min="8724" max="8724" width="11.42578125" style="42" customWidth="1"/>
    <col min="8725" max="8725" width="13" style="42" customWidth="1"/>
    <col min="8726" max="8726" width="17.85546875" style="42" customWidth="1"/>
    <col min="8727" max="8960" width="8.85546875" style="42"/>
    <col min="8961" max="8961" width="6.7109375" style="42" customWidth="1"/>
    <col min="8962" max="8962" width="39.85546875" style="42" customWidth="1"/>
    <col min="8963" max="8963" width="12.42578125" style="42" customWidth="1"/>
    <col min="8964" max="8964" width="13.42578125" style="42" customWidth="1"/>
    <col min="8965" max="8965" width="13.7109375" style="42" customWidth="1"/>
    <col min="8966" max="8966" width="12.85546875" style="42" customWidth="1"/>
    <col min="8967" max="8967" width="8.7109375" style="42" customWidth="1"/>
    <col min="8968" max="8968" width="13.140625" style="42" customWidth="1"/>
    <col min="8969" max="8969" width="11.28515625" style="42" customWidth="1"/>
    <col min="8970" max="8970" width="13.42578125" style="42" customWidth="1"/>
    <col min="8971" max="8971" width="8.28515625" style="42" customWidth="1"/>
    <col min="8972" max="8973" width="11.42578125" style="42" customWidth="1"/>
    <col min="8974" max="8974" width="13.5703125" style="42" customWidth="1"/>
    <col min="8975" max="8975" width="8" style="42" customWidth="1"/>
    <col min="8976" max="8976" width="13.28515625" style="42" customWidth="1"/>
    <col min="8977" max="8977" width="14.28515625" style="42" customWidth="1"/>
    <col min="8978" max="8978" width="13.42578125" style="42" customWidth="1"/>
    <col min="8979" max="8979" width="10.7109375" style="42" customWidth="1"/>
    <col min="8980" max="8980" width="11.42578125" style="42" customWidth="1"/>
    <col min="8981" max="8981" width="13" style="42" customWidth="1"/>
    <col min="8982" max="8982" width="17.85546875" style="42" customWidth="1"/>
    <col min="8983" max="9216" width="8.85546875" style="42"/>
    <col min="9217" max="9217" width="6.7109375" style="42" customWidth="1"/>
    <col min="9218" max="9218" width="39.85546875" style="42" customWidth="1"/>
    <col min="9219" max="9219" width="12.42578125" style="42" customWidth="1"/>
    <col min="9220" max="9220" width="13.42578125" style="42" customWidth="1"/>
    <col min="9221" max="9221" width="13.7109375" style="42" customWidth="1"/>
    <col min="9222" max="9222" width="12.85546875" style="42" customWidth="1"/>
    <col min="9223" max="9223" width="8.7109375" style="42" customWidth="1"/>
    <col min="9224" max="9224" width="13.140625" style="42" customWidth="1"/>
    <col min="9225" max="9225" width="11.28515625" style="42" customWidth="1"/>
    <col min="9226" max="9226" width="13.42578125" style="42" customWidth="1"/>
    <col min="9227" max="9227" width="8.28515625" style="42" customWidth="1"/>
    <col min="9228" max="9229" width="11.42578125" style="42" customWidth="1"/>
    <col min="9230" max="9230" width="13.5703125" style="42" customWidth="1"/>
    <col min="9231" max="9231" width="8" style="42" customWidth="1"/>
    <col min="9232" max="9232" width="13.28515625" style="42" customWidth="1"/>
    <col min="9233" max="9233" width="14.28515625" style="42" customWidth="1"/>
    <col min="9234" max="9234" width="13.42578125" style="42" customWidth="1"/>
    <col min="9235" max="9235" width="10.7109375" style="42" customWidth="1"/>
    <col min="9236" max="9236" width="11.42578125" style="42" customWidth="1"/>
    <col min="9237" max="9237" width="13" style="42" customWidth="1"/>
    <col min="9238" max="9238" width="17.85546875" style="42" customWidth="1"/>
    <col min="9239" max="9472" width="8.85546875" style="42"/>
    <col min="9473" max="9473" width="6.7109375" style="42" customWidth="1"/>
    <col min="9474" max="9474" width="39.85546875" style="42" customWidth="1"/>
    <col min="9475" max="9475" width="12.42578125" style="42" customWidth="1"/>
    <col min="9476" max="9476" width="13.42578125" style="42" customWidth="1"/>
    <col min="9477" max="9477" width="13.7109375" style="42" customWidth="1"/>
    <col min="9478" max="9478" width="12.85546875" style="42" customWidth="1"/>
    <col min="9479" max="9479" width="8.7109375" style="42" customWidth="1"/>
    <col min="9480" max="9480" width="13.140625" style="42" customWidth="1"/>
    <col min="9481" max="9481" width="11.28515625" style="42" customWidth="1"/>
    <col min="9482" max="9482" width="13.42578125" style="42" customWidth="1"/>
    <col min="9483" max="9483" width="8.28515625" style="42" customWidth="1"/>
    <col min="9484" max="9485" width="11.42578125" style="42" customWidth="1"/>
    <col min="9486" max="9486" width="13.5703125" style="42" customWidth="1"/>
    <col min="9487" max="9487" width="8" style="42" customWidth="1"/>
    <col min="9488" max="9488" width="13.28515625" style="42" customWidth="1"/>
    <col min="9489" max="9489" width="14.28515625" style="42" customWidth="1"/>
    <col min="9490" max="9490" width="13.42578125" style="42" customWidth="1"/>
    <col min="9491" max="9491" width="10.7109375" style="42" customWidth="1"/>
    <col min="9492" max="9492" width="11.42578125" style="42" customWidth="1"/>
    <col min="9493" max="9493" width="13" style="42" customWidth="1"/>
    <col min="9494" max="9494" width="17.85546875" style="42" customWidth="1"/>
    <col min="9495" max="9728" width="8.85546875" style="42"/>
    <col min="9729" max="9729" width="6.7109375" style="42" customWidth="1"/>
    <col min="9730" max="9730" width="39.85546875" style="42" customWidth="1"/>
    <col min="9731" max="9731" width="12.42578125" style="42" customWidth="1"/>
    <col min="9732" max="9732" width="13.42578125" style="42" customWidth="1"/>
    <col min="9733" max="9733" width="13.7109375" style="42" customWidth="1"/>
    <col min="9734" max="9734" width="12.85546875" style="42" customWidth="1"/>
    <col min="9735" max="9735" width="8.7109375" style="42" customWidth="1"/>
    <col min="9736" max="9736" width="13.140625" style="42" customWidth="1"/>
    <col min="9737" max="9737" width="11.28515625" style="42" customWidth="1"/>
    <col min="9738" max="9738" width="13.42578125" style="42" customWidth="1"/>
    <col min="9739" max="9739" width="8.28515625" style="42" customWidth="1"/>
    <col min="9740" max="9741" width="11.42578125" style="42" customWidth="1"/>
    <col min="9742" max="9742" width="13.5703125" style="42" customWidth="1"/>
    <col min="9743" max="9743" width="8" style="42" customWidth="1"/>
    <col min="9744" max="9744" width="13.28515625" style="42" customWidth="1"/>
    <col min="9745" max="9745" width="14.28515625" style="42" customWidth="1"/>
    <col min="9746" max="9746" width="13.42578125" style="42" customWidth="1"/>
    <col min="9747" max="9747" width="10.7109375" style="42" customWidth="1"/>
    <col min="9748" max="9748" width="11.42578125" style="42" customWidth="1"/>
    <col min="9749" max="9749" width="13" style="42" customWidth="1"/>
    <col min="9750" max="9750" width="17.85546875" style="42" customWidth="1"/>
    <col min="9751" max="9984" width="8.85546875" style="42"/>
    <col min="9985" max="9985" width="6.7109375" style="42" customWidth="1"/>
    <col min="9986" max="9986" width="39.85546875" style="42" customWidth="1"/>
    <col min="9987" max="9987" width="12.42578125" style="42" customWidth="1"/>
    <col min="9988" max="9988" width="13.42578125" style="42" customWidth="1"/>
    <col min="9989" max="9989" width="13.7109375" style="42" customWidth="1"/>
    <col min="9990" max="9990" width="12.85546875" style="42" customWidth="1"/>
    <col min="9991" max="9991" width="8.7109375" style="42" customWidth="1"/>
    <col min="9992" max="9992" width="13.140625" style="42" customWidth="1"/>
    <col min="9993" max="9993" width="11.28515625" style="42" customWidth="1"/>
    <col min="9994" max="9994" width="13.42578125" style="42" customWidth="1"/>
    <col min="9995" max="9995" width="8.28515625" style="42" customWidth="1"/>
    <col min="9996" max="9997" width="11.42578125" style="42" customWidth="1"/>
    <col min="9998" max="9998" width="13.5703125" style="42" customWidth="1"/>
    <col min="9999" max="9999" width="8" style="42" customWidth="1"/>
    <col min="10000" max="10000" width="13.28515625" style="42" customWidth="1"/>
    <col min="10001" max="10001" width="14.28515625" style="42" customWidth="1"/>
    <col min="10002" max="10002" width="13.42578125" style="42" customWidth="1"/>
    <col min="10003" max="10003" width="10.7109375" style="42" customWidth="1"/>
    <col min="10004" max="10004" width="11.42578125" style="42" customWidth="1"/>
    <col min="10005" max="10005" width="13" style="42" customWidth="1"/>
    <col min="10006" max="10006" width="17.85546875" style="42" customWidth="1"/>
    <col min="10007" max="10240" width="8.85546875" style="42"/>
    <col min="10241" max="10241" width="6.7109375" style="42" customWidth="1"/>
    <col min="10242" max="10242" width="39.85546875" style="42" customWidth="1"/>
    <col min="10243" max="10243" width="12.42578125" style="42" customWidth="1"/>
    <col min="10244" max="10244" width="13.42578125" style="42" customWidth="1"/>
    <col min="10245" max="10245" width="13.7109375" style="42" customWidth="1"/>
    <col min="10246" max="10246" width="12.85546875" style="42" customWidth="1"/>
    <col min="10247" max="10247" width="8.7109375" style="42" customWidth="1"/>
    <col min="10248" max="10248" width="13.140625" style="42" customWidth="1"/>
    <col min="10249" max="10249" width="11.28515625" style="42" customWidth="1"/>
    <col min="10250" max="10250" width="13.42578125" style="42" customWidth="1"/>
    <col min="10251" max="10251" width="8.28515625" style="42" customWidth="1"/>
    <col min="10252" max="10253" width="11.42578125" style="42" customWidth="1"/>
    <col min="10254" max="10254" width="13.5703125" style="42" customWidth="1"/>
    <col min="10255" max="10255" width="8" style="42" customWidth="1"/>
    <col min="10256" max="10256" width="13.28515625" style="42" customWidth="1"/>
    <col min="10257" max="10257" width="14.28515625" style="42" customWidth="1"/>
    <col min="10258" max="10258" width="13.42578125" style="42" customWidth="1"/>
    <col min="10259" max="10259" width="10.7109375" style="42" customWidth="1"/>
    <col min="10260" max="10260" width="11.42578125" style="42" customWidth="1"/>
    <col min="10261" max="10261" width="13" style="42" customWidth="1"/>
    <col min="10262" max="10262" width="17.85546875" style="42" customWidth="1"/>
    <col min="10263" max="10496" width="8.85546875" style="42"/>
    <col min="10497" max="10497" width="6.7109375" style="42" customWidth="1"/>
    <col min="10498" max="10498" width="39.85546875" style="42" customWidth="1"/>
    <col min="10499" max="10499" width="12.42578125" style="42" customWidth="1"/>
    <col min="10500" max="10500" width="13.42578125" style="42" customWidth="1"/>
    <col min="10501" max="10501" width="13.7109375" style="42" customWidth="1"/>
    <col min="10502" max="10502" width="12.85546875" style="42" customWidth="1"/>
    <col min="10503" max="10503" width="8.7109375" style="42" customWidth="1"/>
    <col min="10504" max="10504" width="13.140625" style="42" customWidth="1"/>
    <col min="10505" max="10505" width="11.28515625" style="42" customWidth="1"/>
    <col min="10506" max="10506" width="13.42578125" style="42" customWidth="1"/>
    <col min="10507" max="10507" width="8.28515625" style="42" customWidth="1"/>
    <col min="10508" max="10509" width="11.42578125" style="42" customWidth="1"/>
    <col min="10510" max="10510" width="13.5703125" style="42" customWidth="1"/>
    <col min="10511" max="10511" width="8" style="42" customWidth="1"/>
    <col min="10512" max="10512" width="13.28515625" style="42" customWidth="1"/>
    <col min="10513" max="10513" width="14.28515625" style="42" customWidth="1"/>
    <col min="10514" max="10514" width="13.42578125" style="42" customWidth="1"/>
    <col min="10515" max="10515" width="10.7109375" style="42" customWidth="1"/>
    <col min="10516" max="10516" width="11.42578125" style="42" customWidth="1"/>
    <col min="10517" max="10517" width="13" style="42" customWidth="1"/>
    <col min="10518" max="10518" width="17.85546875" style="42" customWidth="1"/>
    <col min="10519" max="10752" width="8.85546875" style="42"/>
    <col min="10753" max="10753" width="6.7109375" style="42" customWidth="1"/>
    <col min="10754" max="10754" width="39.85546875" style="42" customWidth="1"/>
    <col min="10755" max="10755" width="12.42578125" style="42" customWidth="1"/>
    <col min="10756" max="10756" width="13.42578125" style="42" customWidth="1"/>
    <col min="10757" max="10757" width="13.7109375" style="42" customWidth="1"/>
    <col min="10758" max="10758" width="12.85546875" style="42" customWidth="1"/>
    <col min="10759" max="10759" width="8.7109375" style="42" customWidth="1"/>
    <col min="10760" max="10760" width="13.140625" style="42" customWidth="1"/>
    <col min="10761" max="10761" width="11.28515625" style="42" customWidth="1"/>
    <col min="10762" max="10762" width="13.42578125" style="42" customWidth="1"/>
    <col min="10763" max="10763" width="8.28515625" style="42" customWidth="1"/>
    <col min="10764" max="10765" width="11.42578125" style="42" customWidth="1"/>
    <col min="10766" max="10766" width="13.5703125" style="42" customWidth="1"/>
    <col min="10767" max="10767" width="8" style="42" customWidth="1"/>
    <col min="10768" max="10768" width="13.28515625" style="42" customWidth="1"/>
    <col min="10769" max="10769" width="14.28515625" style="42" customWidth="1"/>
    <col min="10770" max="10770" width="13.42578125" style="42" customWidth="1"/>
    <col min="10771" max="10771" width="10.7109375" style="42" customWidth="1"/>
    <col min="10772" max="10772" width="11.42578125" style="42" customWidth="1"/>
    <col min="10773" max="10773" width="13" style="42" customWidth="1"/>
    <col min="10774" max="10774" width="17.85546875" style="42" customWidth="1"/>
    <col min="10775" max="11008" width="8.85546875" style="42"/>
    <col min="11009" max="11009" width="6.7109375" style="42" customWidth="1"/>
    <col min="11010" max="11010" width="39.85546875" style="42" customWidth="1"/>
    <col min="11011" max="11011" width="12.42578125" style="42" customWidth="1"/>
    <col min="11012" max="11012" width="13.42578125" style="42" customWidth="1"/>
    <col min="11013" max="11013" width="13.7109375" style="42" customWidth="1"/>
    <col min="11014" max="11014" width="12.85546875" style="42" customWidth="1"/>
    <col min="11015" max="11015" width="8.7109375" style="42" customWidth="1"/>
    <col min="11016" max="11016" width="13.140625" style="42" customWidth="1"/>
    <col min="11017" max="11017" width="11.28515625" style="42" customWidth="1"/>
    <col min="11018" max="11018" width="13.42578125" style="42" customWidth="1"/>
    <col min="11019" max="11019" width="8.28515625" style="42" customWidth="1"/>
    <col min="11020" max="11021" width="11.42578125" style="42" customWidth="1"/>
    <col min="11022" max="11022" width="13.5703125" style="42" customWidth="1"/>
    <col min="11023" max="11023" width="8" style="42" customWidth="1"/>
    <col min="11024" max="11024" width="13.28515625" style="42" customWidth="1"/>
    <col min="11025" max="11025" width="14.28515625" style="42" customWidth="1"/>
    <col min="11026" max="11026" width="13.42578125" style="42" customWidth="1"/>
    <col min="11027" max="11027" width="10.7109375" style="42" customWidth="1"/>
    <col min="11028" max="11028" width="11.42578125" style="42" customWidth="1"/>
    <col min="11029" max="11029" width="13" style="42" customWidth="1"/>
    <col min="11030" max="11030" width="17.85546875" style="42" customWidth="1"/>
    <col min="11031" max="11264" width="8.85546875" style="42"/>
    <col min="11265" max="11265" width="6.7109375" style="42" customWidth="1"/>
    <col min="11266" max="11266" width="39.85546875" style="42" customWidth="1"/>
    <col min="11267" max="11267" width="12.42578125" style="42" customWidth="1"/>
    <col min="11268" max="11268" width="13.42578125" style="42" customWidth="1"/>
    <col min="11269" max="11269" width="13.7109375" style="42" customWidth="1"/>
    <col min="11270" max="11270" width="12.85546875" style="42" customWidth="1"/>
    <col min="11271" max="11271" width="8.7109375" style="42" customWidth="1"/>
    <col min="11272" max="11272" width="13.140625" style="42" customWidth="1"/>
    <col min="11273" max="11273" width="11.28515625" style="42" customWidth="1"/>
    <col min="11274" max="11274" width="13.42578125" style="42" customWidth="1"/>
    <col min="11275" max="11275" width="8.28515625" style="42" customWidth="1"/>
    <col min="11276" max="11277" width="11.42578125" style="42" customWidth="1"/>
    <col min="11278" max="11278" width="13.5703125" style="42" customWidth="1"/>
    <col min="11279" max="11279" width="8" style="42" customWidth="1"/>
    <col min="11280" max="11280" width="13.28515625" style="42" customWidth="1"/>
    <col min="11281" max="11281" width="14.28515625" style="42" customWidth="1"/>
    <col min="11282" max="11282" width="13.42578125" style="42" customWidth="1"/>
    <col min="11283" max="11283" width="10.7109375" style="42" customWidth="1"/>
    <col min="11284" max="11284" width="11.42578125" style="42" customWidth="1"/>
    <col min="11285" max="11285" width="13" style="42" customWidth="1"/>
    <col min="11286" max="11286" width="17.85546875" style="42" customWidth="1"/>
    <col min="11287" max="11520" width="8.85546875" style="42"/>
    <col min="11521" max="11521" width="6.7109375" style="42" customWidth="1"/>
    <col min="11522" max="11522" width="39.85546875" style="42" customWidth="1"/>
    <col min="11523" max="11523" width="12.42578125" style="42" customWidth="1"/>
    <col min="11524" max="11524" width="13.42578125" style="42" customWidth="1"/>
    <col min="11525" max="11525" width="13.7109375" style="42" customWidth="1"/>
    <col min="11526" max="11526" width="12.85546875" style="42" customWidth="1"/>
    <col min="11527" max="11527" width="8.7109375" style="42" customWidth="1"/>
    <col min="11528" max="11528" width="13.140625" style="42" customWidth="1"/>
    <col min="11529" max="11529" width="11.28515625" style="42" customWidth="1"/>
    <col min="11530" max="11530" width="13.42578125" style="42" customWidth="1"/>
    <col min="11531" max="11531" width="8.28515625" style="42" customWidth="1"/>
    <col min="11532" max="11533" width="11.42578125" style="42" customWidth="1"/>
    <col min="11534" max="11534" width="13.5703125" style="42" customWidth="1"/>
    <col min="11535" max="11535" width="8" style="42" customWidth="1"/>
    <col min="11536" max="11536" width="13.28515625" style="42" customWidth="1"/>
    <col min="11537" max="11537" width="14.28515625" style="42" customWidth="1"/>
    <col min="11538" max="11538" width="13.42578125" style="42" customWidth="1"/>
    <col min="11539" max="11539" width="10.7109375" style="42" customWidth="1"/>
    <col min="11540" max="11540" width="11.42578125" style="42" customWidth="1"/>
    <col min="11541" max="11541" width="13" style="42" customWidth="1"/>
    <col min="11542" max="11542" width="17.85546875" style="42" customWidth="1"/>
    <col min="11543" max="11776" width="8.85546875" style="42"/>
    <col min="11777" max="11777" width="6.7109375" style="42" customWidth="1"/>
    <col min="11778" max="11778" width="39.85546875" style="42" customWidth="1"/>
    <col min="11779" max="11779" width="12.42578125" style="42" customWidth="1"/>
    <col min="11780" max="11780" width="13.42578125" style="42" customWidth="1"/>
    <col min="11781" max="11781" width="13.7109375" style="42" customWidth="1"/>
    <col min="11782" max="11782" width="12.85546875" style="42" customWidth="1"/>
    <col min="11783" max="11783" width="8.7109375" style="42" customWidth="1"/>
    <col min="11784" max="11784" width="13.140625" style="42" customWidth="1"/>
    <col min="11785" max="11785" width="11.28515625" style="42" customWidth="1"/>
    <col min="11786" max="11786" width="13.42578125" style="42" customWidth="1"/>
    <col min="11787" max="11787" width="8.28515625" style="42" customWidth="1"/>
    <col min="11788" max="11789" width="11.42578125" style="42" customWidth="1"/>
    <col min="11790" max="11790" width="13.5703125" style="42" customWidth="1"/>
    <col min="11791" max="11791" width="8" style="42" customWidth="1"/>
    <col min="11792" max="11792" width="13.28515625" style="42" customWidth="1"/>
    <col min="11793" max="11793" width="14.28515625" style="42" customWidth="1"/>
    <col min="11794" max="11794" width="13.42578125" style="42" customWidth="1"/>
    <col min="11795" max="11795" width="10.7109375" style="42" customWidth="1"/>
    <col min="11796" max="11796" width="11.42578125" style="42" customWidth="1"/>
    <col min="11797" max="11797" width="13" style="42" customWidth="1"/>
    <col min="11798" max="11798" width="17.85546875" style="42" customWidth="1"/>
    <col min="11799" max="12032" width="8.85546875" style="42"/>
    <col min="12033" max="12033" width="6.7109375" style="42" customWidth="1"/>
    <col min="12034" max="12034" width="39.85546875" style="42" customWidth="1"/>
    <col min="12035" max="12035" width="12.42578125" style="42" customWidth="1"/>
    <col min="12036" max="12036" width="13.42578125" style="42" customWidth="1"/>
    <col min="12037" max="12037" width="13.7109375" style="42" customWidth="1"/>
    <col min="12038" max="12038" width="12.85546875" style="42" customWidth="1"/>
    <col min="12039" max="12039" width="8.7109375" style="42" customWidth="1"/>
    <col min="12040" max="12040" width="13.140625" style="42" customWidth="1"/>
    <col min="12041" max="12041" width="11.28515625" style="42" customWidth="1"/>
    <col min="12042" max="12042" width="13.42578125" style="42" customWidth="1"/>
    <col min="12043" max="12043" width="8.28515625" style="42" customWidth="1"/>
    <col min="12044" max="12045" width="11.42578125" style="42" customWidth="1"/>
    <col min="12046" max="12046" width="13.5703125" style="42" customWidth="1"/>
    <col min="12047" max="12047" width="8" style="42" customWidth="1"/>
    <col min="12048" max="12048" width="13.28515625" style="42" customWidth="1"/>
    <col min="12049" max="12049" width="14.28515625" style="42" customWidth="1"/>
    <col min="12050" max="12050" width="13.42578125" style="42" customWidth="1"/>
    <col min="12051" max="12051" width="10.7109375" style="42" customWidth="1"/>
    <col min="12052" max="12052" width="11.42578125" style="42" customWidth="1"/>
    <col min="12053" max="12053" width="13" style="42" customWidth="1"/>
    <col min="12054" max="12054" width="17.85546875" style="42" customWidth="1"/>
    <col min="12055" max="12288" width="8.85546875" style="42"/>
    <col min="12289" max="12289" width="6.7109375" style="42" customWidth="1"/>
    <col min="12290" max="12290" width="39.85546875" style="42" customWidth="1"/>
    <col min="12291" max="12291" width="12.42578125" style="42" customWidth="1"/>
    <col min="12292" max="12292" width="13.42578125" style="42" customWidth="1"/>
    <col min="12293" max="12293" width="13.7109375" style="42" customWidth="1"/>
    <col min="12294" max="12294" width="12.85546875" style="42" customWidth="1"/>
    <col min="12295" max="12295" width="8.7109375" style="42" customWidth="1"/>
    <col min="12296" max="12296" width="13.140625" style="42" customWidth="1"/>
    <col min="12297" max="12297" width="11.28515625" style="42" customWidth="1"/>
    <col min="12298" max="12298" width="13.42578125" style="42" customWidth="1"/>
    <col min="12299" max="12299" width="8.28515625" style="42" customWidth="1"/>
    <col min="12300" max="12301" width="11.42578125" style="42" customWidth="1"/>
    <col min="12302" max="12302" width="13.5703125" style="42" customWidth="1"/>
    <col min="12303" max="12303" width="8" style="42" customWidth="1"/>
    <col min="12304" max="12304" width="13.28515625" style="42" customWidth="1"/>
    <col min="12305" max="12305" width="14.28515625" style="42" customWidth="1"/>
    <col min="12306" max="12306" width="13.42578125" style="42" customWidth="1"/>
    <col min="12307" max="12307" width="10.7109375" style="42" customWidth="1"/>
    <col min="12308" max="12308" width="11.42578125" style="42" customWidth="1"/>
    <col min="12309" max="12309" width="13" style="42" customWidth="1"/>
    <col min="12310" max="12310" width="17.85546875" style="42" customWidth="1"/>
    <col min="12311" max="12544" width="8.85546875" style="42"/>
    <col min="12545" max="12545" width="6.7109375" style="42" customWidth="1"/>
    <col min="12546" max="12546" width="39.85546875" style="42" customWidth="1"/>
    <col min="12547" max="12547" width="12.42578125" style="42" customWidth="1"/>
    <col min="12548" max="12548" width="13.42578125" style="42" customWidth="1"/>
    <col min="12549" max="12549" width="13.7109375" style="42" customWidth="1"/>
    <col min="12550" max="12550" width="12.85546875" style="42" customWidth="1"/>
    <col min="12551" max="12551" width="8.7109375" style="42" customWidth="1"/>
    <col min="12552" max="12552" width="13.140625" style="42" customWidth="1"/>
    <col min="12553" max="12553" width="11.28515625" style="42" customWidth="1"/>
    <col min="12554" max="12554" width="13.42578125" style="42" customWidth="1"/>
    <col min="12555" max="12555" width="8.28515625" style="42" customWidth="1"/>
    <col min="12556" max="12557" width="11.42578125" style="42" customWidth="1"/>
    <col min="12558" max="12558" width="13.5703125" style="42" customWidth="1"/>
    <col min="12559" max="12559" width="8" style="42" customWidth="1"/>
    <col min="12560" max="12560" width="13.28515625" style="42" customWidth="1"/>
    <col min="12561" max="12561" width="14.28515625" style="42" customWidth="1"/>
    <col min="12562" max="12562" width="13.42578125" style="42" customWidth="1"/>
    <col min="12563" max="12563" width="10.7109375" style="42" customWidth="1"/>
    <col min="12564" max="12564" width="11.42578125" style="42" customWidth="1"/>
    <col min="12565" max="12565" width="13" style="42" customWidth="1"/>
    <col min="12566" max="12566" width="17.85546875" style="42" customWidth="1"/>
    <col min="12567" max="12800" width="8.85546875" style="42"/>
    <col min="12801" max="12801" width="6.7109375" style="42" customWidth="1"/>
    <col min="12802" max="12802" width="39.85546875" style="42" customWidth="1"/>
    <col min="12803" max="12803" width="12.42578125" style="42" customWidth="1"/>
    <col min="12804" max="12804" width="13.42578125" style="42" customWidth="1"/>
    <col min="12805" max="12805" width="13.7109375" style="42" customWidth="1"/>
    <col min="12806" max="12806" width="12.85546875" style="42" customWidth="1"/>
    <col min="12807" max="12807" width="8.7109375" style="42" customWidth="1"/>
    <col min="12808" max="12808" width="13.140625" style="42" customWidth="1"/>
    <col min="12809" max="12809" width="11.28515625" style="42" customWidth="1"/>
    <col min="12810" max="12810" width="13.42578125" style="42" customWidth="1"/>
    <col min="12811" max="12811" width="8.28515625" style="42" customWidth="1"/>
    <col min="12812" max="12813" width="11.42578125" style="42" customWidth="1"/>
    <col min="12814" max="12814" width="13.5703125" style="42" customWidth="1"/>
    <col min="12815" max="12815" width="8" style="42" customWidth="1"/>
    <col min="12816" max="12816" width="13.28515625" style="42" customWidth="1"/>
    <col min="12817" max="12817" width="14.28515625" style="42" customWidth="1"/>
    <col min="12818" max="12818" width="13.42578125" style="42" customWidth="1"/>
    <col min="12819" max="12819" width="10.7109375" style="42" customWidth="1"/>
    <col min="12820" max="12820" width="11.42578125" style="42" customWidth="1"/>
    <col min="12821" max="12821" width="13" style="42" customWidth="1"/>
    <col min="12822" max="12822" width="17.85546875" style="42" customWidth="1"/>
    <col min="12823" max="13056" width="8.85546875" style="42"/>
    <col min="13057" max="13057" width="6.7109375" style="42" customWidth="1"/>
    <col min="13058" max="13058" width="39.85546875" style="42" customWidth="1"/>
    <col min="13059" max="13059" width="12.42578125" style="42" customWidth="1"/>
    <col min="13060" max="13060" width="13.42578125" style="42" customWidth="1"/>
    <col min="13061" max="13061" width="13.7109375" style="42" customWidth="1"/>
    <col min="13062" max="13062" width="12.85546875" style="42" customWidth="1"/>
    <col min="13063" max="13063" width="8.7109375" style="42" customWidth="1"/>
    <col min="13064" max="13064" width="13.140625" style="42" customWidth="1"/>
    <col min="13065" max="13065" width="11.28515625" style="42" customWidth="1"/>
    <col min="13066" max="13066" width="13.42578125" style="42" customWidth="1"/>
    <col min="13067" max="13067" width="8.28515625" style="42" customWidth="1"/>
    <col min="13068" max="13069" width="11.42578125" style="42" customWidth="1"/>
    <col min="13070" max="13070" width="13.5703125" style="42" customWidth="1"/>
    <col min="13071" max="13071" width="8" style="42" customWidth="1"/>
    <col min="13072" max="13072" width="13.28515625" style="42" customWidth="1"/>
    <col min="13073" max="13073" width="14.28515625" style="42" customWidth="1"/>
    <col min="13074" max="13074" width="13.42578125" style="42" customWidth="1"/>
    <col min="13075" max="13075" width="10.7109375" style="42" customWidth="1"/>
    <col min="13076" max="13076" width="11.42578125" style="42" customWidth="1"/>
    <col min="13077" max="13077" width="13" style="42" customWidth="1"/>
    <col min="13078" max="13078" width="17.85546875" style="42" customWidth="1"/>
    <col min="13079" max="13312" width="8.85546875" style="42"/>
    <col min="13313" max="13313" width="6.7109375" style="42" customWidth="1"/>
    <col min="13314" max="13314" width="39.85546875" style="42" customWidth="1"/>
    <col min="13315" max="13315" width="12.42578125" style="42" customWidth="1"/>
    <col min="13316" max="13316" width="13.42578125" style="42" customWidth="1"/>
    <col min="13317" max="13317" width="13.7109375" style="42" customWidth="1"/>
    <col min="13318" max="13318" width="12.85546875" style="42" customWidth="1"/>
    <col min="13319" max="13319" width="8.7109375" style="42" customWidth="1"/>
    <col min="13320" max="13320" width="13.140625" style="42" customWidth="1"/>
    <col min="13321" max="13321" width="11.28515625" style="42" customWidth="1"/>
    <col min="13322" max="13322" width="13.42578125" style="42" customWidth="1"/>
    <col min="13323" max="13323" width="8.28515625" style="42" customWidth="1"/>
    <col min="13324" max="13325" width="11.42578125" style="42" customWidth="1"/>
    <col min="13326" max="13326" width="13.5703125" style="42" customWidth="1"/>
    <col min="13327" max="13327" width="8" style="42" customWidth="1"/>
    <col min="13328" max="13328" width="13.28515625" style="42" customWidth="1"/>
    <col min="13329" max="13329" width="14.28515625" style="42" customWidth="1"/>
    <col min="13330" max="13330" width="13.42578125" style="42" customWidth="1"/>
    <col min="13331" max="13331" width="10.7109375" style="42" customWidth="1"/>
    <col min="13332" max="13332" width="11.42578125" style="42" customWidth="1"/>
    <col min="13333" max="13333" width="13" style="42" customWidth="1"/>
    <col min="13334" max="13334" width="17.85546875" style="42" customWidth="1"/>
    <col min="13335" max="13568" width="8.85546875" style="42"/>
    <col min="13569" max="13569" width="6.7109375" style="42" customWidth="1"/>
    <col min="13570" max="13570" width="39.85546875" style="42" customWidth="1"/>
    <col min="13571" max="13571" width="12.42578125" style="42" customWidth="1"/>
    <col min="13572" max="13572" width="13.42578125" style="42" customWidth="1"/>
    <col min="13573" max="13573" width="13.7109375" style="42" customWidth="1"/>
    <col min="13574" max="13574" width="12.85546875" style="42" customWidth="1"/>
    <col min="13575" max="13575" width="8.7109375" style="42" customWidth="1"/>
    <col min="13576" max="13576" width="13.140625" style="42" customWidth="1"/>
    <col min="13577" max="13577" width="11.28515625" style="42" customWidth="1"/>
    <col min="13578" max="13578" width="13.42578125" style="42" customWidth="1"/>
    <col min="13579" max="13579" width="8.28515625" style="42" customWidth="1"/>
    <col min="13580" max="13581" width="11.42578125" style="42" customWidth="1"/>
    <col min="13582" max="13582" width="13.5703125" style="42" customWidth="1"/>
    <col min="13583" max="13583" width="8" style="42" customWidth="1"/>
    <col min="13584" max="13584" width="13.28515625" style="42" customWidth="1"/>
    <col min="13585" max="13585" width="14.28515625" style="42" customWidth="1"/>
    <col min="13586" max="13586" width="13.42578125" style="42" customWidth="1"/>
    <col min="13587" max="13587" width="10.7109375" style="42" customWidth="1"/>
    <col min="13588" max="13588" width="11.42578125" style="42" customWidth="1"/>
    <col min="13589" max="13589" width="13" style="42" customWidth="1"/>
    <col min="13590" max="13590" width="17.85546875" style="42" customWidth="1"/>
    <col min="13591" max="13824" width="8.85546875" style="42"/>
    <col min="13825" max="13825" width="6.7109375" style="42" customWidth="1"/>
    <col min="13826" max="13826" width="39.85546875" style="42" customWidth="1"/>
    <col min="13827" max="13827" width="12.42578125" style="42" customWidth="1"/>
    <col min="13828" max="13828" width="13.42578125" style="42" customWidth="1"/>
    <col min="13829" max="13829" width="13.7109375" style="42" customWidth="1"/>
    <col min="13830" max="13830" width="12.85546875" style="42" customWidth="1"/>
    <col min="13831" max="13831" width="8.7109375" style="42" customWidth="1"/>
    <col min="13832" max="13832" width="13.140625" style="42" customWidth="1"/>
    <col min="13833" max="13833" width="11.28515625" style="42" customWidth="1"/>
    <col min="13834" max="13834" width="13.42578125" style="42" customWidth="1"/>
    <col min="13835" max="13835" width="8.28515625" style="42" customWidth="1"/>
    <col min="13836" max="13837" width="11.42578125" style="42" customWidth="1"/>
    <col min="13838" max="13838" width="13.5703125" style="42" customWidth="1"/>
    <col min="13839" max="13839" width="8" style="42" customWidth="1"/>
    <col min="13840" max="13840" width="13.28515625" style="42" customWidth="1"/>
    <col min="13841" max="13841" width="14.28515625" style="42" customWidth="1"/>
    <col min="13842" max="13842" width="13.42578125" style="42" customWidth="1"/>
    <col min="13843" max="13843" width="10.7109375" style="42" customWidth="1"/>
    <col min="13844" max="13844" width="11.42578125" style="42" customWidth="1"/>
    <col min="13845" max="13845" width="13" style="42" customWidth="1"/>
    <col min="13846" max="13846" width="17.85546875" style="42" customWidth="1"/>
    <col min="13847" max="14080" width="8.85546875" style="42"/>
    <col min="14081" max="14081" width="6.7109375" style="42" customWidth="1"/>
    <col min="14082" max="14082" width="39.85546875" style="42" customWidth="1"/>
    <col min="14083" max="14083" width="12.42578125" style="42" customWidth="1"/>
    <col min="14084" max="14084" width="13.42578125" style="42" customWidth="1"/>
    <col min="14085" max="14085" width="13.7109375" style="42" customWidth="1"/>
    <col min="14086" max="14086" width="12.85546875" style="42" customWidth="1"/>
    <col min="14087" max="14087" width="8.7109375" style="42" customWidth="1"/>
    <col min="14088" max="14088" width="13.140625" style="42" customWidth="1"/>
    <col min="14089" max="14089" width="11.28515625" style="42" customWidth="1"/>
    <col min="14090" max="14090" width="13.42578125" style="42" customWidth="1"/>
    <col min="14091" max="14091" width="8.28515625" style="42" customWidth="1"/>
    <col min="14092" max="14093" width="11.42578125" style="42" customWidth="1"/>
    <col min="14094" max="14094" width="13.5703125" style="42" customWidth="1"/>
    <col min="14095" max="14095" width="8" style="42" customWidth="1"/>
    <col min="14096" max="14096" width="13.28515625" style="42" customWidth="1"/>
    <col min="14097" max="14097" width="14.28515625" style="42" customWidth="1"/>
    <col min="14098" max="14098" width="13.42578125" style="42" customWidth="1"/>
    <col min="14099" max="14099" width="10.7109375" style="42" customWidth="1"/>
    <col min="14100" max="14100" width="11.42578125" style="42" customWidth="1"/>
    <col min="14101" max="14101" width="13" style="42" customWidth="1"/>
    <col min="14102" max="14102" width="17.85546875" style="42" customWidth="1"/>
    <col min="14103" max="14336" width="8.85546875" style="42"/>
    <col min="14337" max="14337" width="6.7109375" style="42" customWidth="1"/>
    <col min="14338" max="14338" width="39.85546875" style="42" customWidth="1"/>
    <col min="14339" max="14339" width="12.42578125" style="42" customWidth="1"/>
    <col min="14340" max="14340" width="13.42578125" style="42" customWidth="1"/>
    <col min="14341" max="14341" width="13.7109375" style="42" customWidth="1"/>
    <col min="14342" max="14342" width="12.85546875" style="42" customWidth="1"/>
    <col min="14343" max="14343" width="8.7109375" style="42" customWidth="1"/>
    <col min="14344" max="14344" width="13.140625" style="42" customWidth="1"/>
    <col min="14345" max="14345" width="11.28515625" style="42" customWidth="1"/>
    <col min="14346" max="14346" width="13.42578125" style="42" customWidth="1"/>
    <col min="14347" max="14347" width="8.28515625" style="42" customWidth="1"/>
    <col min="14348" max="14349" width="11.42578125" style="42" customWidth="1"/>
    <col min="14350" max="14350" width="13.5703125" style="42" customWidth="1"/>
    <col min="14351" max="14351" width="8" style="42" customWidth="1"/>
    <col min="14352" max="14352" width="13.28515625" style="42" customWidth="1"/>
    <col min="14353" max="14353" width="14.28515625" style="42" customWidth="1"/>
    <col min="14354" max="14354" width="13.42578125" style="42" customWidth="1"/>
    <col min="14355" max="14355" width="10.7109375" style="42" customWidth="1"/>
    <col min="14356" max="14356" width="11.42578125" style="42" customWidth="1"/>
    <col min="14357" max="14357" width="13" style="42" customWidth="1"/>
    <col min="14358" max="14358" width="17.85546875" style="42" customWidth="1"/>
    <col min="14359" max="14592" width="8.85546875" style="42"/>
    <col min="14593" max="14593" width="6.7109375" style="42" customWidth="1"/>
    <col min="14594" max="14594" width="39.85546875" style="42" customWidth="1"/>
    <col min="14595" max="14595" width="12.42578125" style="42" customWidth="1"/>
    <col min="14596" max="14596" width="13.42578125" style="42" customWidth="1"/>
    <col min="14597" max="14597" width="13.7109375" style="42" customWidth="1"/>
    <col min="14598" max="14598" width="12.85546875" style="42" customWidth="1"/>
    <col min="14599" max="14599" width="8.7109375" style="42" customWidth="1"/>
    <col min="14600" max="14600" width="13.140625" style="42" customWidth="1"/>
    <col min="14601" max="14601" width="11.28515625" style="42" customWidth="1"/>
    <col min="14602" max="14602" width="13.42578125" style="42" customWidth="1"/>
    <col min="14603" max="14603" width="8.28515625" style="42" customWidth="1"/>
    <col min="14604" max="14605" width="11.42578125" style="42" customWidth="1"/>
    <col min="14606" max="14606" width="13.5703125" style="42" customWidth="1"/>
    <col min="14607" max="14607" width="8" style="42" customWidth="1"/>
    <col min="14608" max="14608" width="13.28515625" style="42" customWidth="1"/>
    <col min="14609" max="14609" width="14.28515625" style="42" customWidth="1"/>
    <col min="14610" max="14610" width="13.42578125" style="42" customWidth="1"/>
    <col min="14611" max="14611" width="10.7109375" style="42" customWidth="1"/>
    <col min="14612" max="14612" width="11.42578125" style="42" customWidth="1"/>
    <col min="14613" max="14613" width="13" style="42" customWidth="1"/>
    <col min="14614" max="14614" width="17.85546875" style="42" customWidth="1"/>
    <col min="14615" max="14848" width="8.85546875" style="42"/>
    <col min="14849" max="14849" width="6.7109375" style="42" customWidth="1"/>
    <col min="14850" max="14850" width="39.85546875" style="42" customWidth="1"/>
    <col min="14851" max="14851" width="12.42578125" style="42" customWidth="1"/>
    <col min="14852" max="14852" width="13.42578125" style="42" customWidth="1"/>
    <col min="14853" max="14853" width="13.7109375" style="42" customWidth="1"/>
    <col min="14854" max="14854" width="12.85546875" style="42" customWidth="1"/>
    <col min="14855" max="14855" width="8.7109375" style="42" customWidth="1"/>
    <col min="14856" max="14856" width="13.140625" style="42" customWidth="1"/>
    <col min="14857" max="14857" width="11.28515625" style="42" customWidth="1"/>
    <col min="14858" max="14858" width="13.42578125" style="42" customWidth="1"/>
    <col min="14859" max="14859" width="8.28515625" style="42" customWidth="1"/>
    <col min="14860" max="14861" width="11.42578125" style="42" customWidth="1"/>
    <col min="14862" max="14862" width="13.5703125" style="42" customWidth="1"/>
    <col min="14863" max="14863" width="8" style="42" customWidth="1"/>
    <col min="14864" max="14864" width="13.28515625" style="42" customWidth="1"/>
    <col min="14865" max="14865" width="14.28515625" style="42" customWidth="1"/>
    <col min="14866" max="14866" width="13.42578125" style="42" customWidth="1"/>
    <col min="14867" max="14867" width="10.7109375" style="42" customWidth="1"/>
    <col min="14868" max="14868" width="11.42578125" style="42" customWidth="1"/>
    <col min="14869" max="14869" width="13" style="42" customWidth="1"/>
    <col min="14870" max="14870" width="17.85546875" style="42" customWidth="1"/>
    <col min="14871" max="15104" width="8.85546875" style="42"/>
    <col min="15105" max="15105" width="6.7109375" style="42" customWidth="1"/>
    <col min="15106" max="15106" width="39.85546875" style="42" customWidth="1"/>
    <col min="15107" max="15107" width="12.42578125" style="42" customWidth="1"/>
    <col min="15108" max="15108" width="13.42578125" style="42" customWidth="1"/>
    <col min="15109" max="15109" width="13.7109375" style="42" customWidth="1"/>
    <col min="15110" max="15110" width="12.85546875" style="42" customWidth="1"/>
    <col min="15111" max="15111" width="8.7109375" style="42" customWidth="1"/>
    <col min="15112" max="15112" width="13.140625" style="42" customWidth="1"/>
    <col min="15113" max="15113" width="11.28515625" style="42" customWidth="1"/>
    <col min="15114" max="15114" width="13.42578125" style="42" customWidth="1"/>
    <col min="15115" max="15115" width="8.28515625" style="42" customWidth="1"/>
    <col min="15116" max="15117" width="11.42578125" style="42" customWidth="1"/>
    <col min="15118" max="15118" width="13.5703125" style="42" customWidth="1"/>
    <col min="15119" max="15119" width="8" style="42" customWidth="1"/>
    <col min="15120" max="15120" width="13.28515625" style="42" customWidth="1"/>
    <col min="15121" max="15121" width="14.28515625" style="42" customWidth="1"/>
    <col min="15122" max="15122" width="13.42578125" style="42" customWidth="1"/>
    <col min="15123" max="15123" width="10.7109375" style="42" customWidth="1"/>
    <col min="15124" max="15124" width="11.42578125" style="42" customWidth="1"/>
    <col min="15125" max="15125" width="13" style="42" customWidth="1"/>
    <col min="15126" max="15126" width="17.85546875" style="42" customWidth="1"/>
    <col min="15127" max="15360" width="8.85546875" style="42"/>
    <col min="15361" max="15361" width="6.7109375" style="42" customWidth="1"/>
    <col min="15362" max="15362" width="39.85546875" style="42" customWidth="1"/>
    <col min="15363" max="15363" width="12.42578125" style="42" customWidth="1"/>
    <col min="15364" max="15364" width="13.42578125" style="42" customWidth="1"/>
    <col min="15365" max="15365" width="13.7109375" style="42" customWidth="1"/>
    <col min="15366" max="15366" width="12.85546875" style="42" customWidth="1"/>
    <col min="15367" max="15367" width="8.7109375" style="42" customWidth="1"/>
    <col min="15368" max="15368" width="13.140625" style="42" customWidth="1"/>
    <col min="15369" max="15369" width="11.28515625" style="42" customWidth="1"/>
    <col min="15370" max="15370" width="13.42578125" style="42" customWidth="1"/>
    <col min="15371" max="15371" width="8.28515625" style="42" customWidth="1"/>
    <col min="15372" max="15373" width="11.42578125" style="42" customWidth="1"/>
    <col min="15374" max="15374" width="13.5703125" style="42" customWidth="1"/>
    <col min="15375" max="15375" width="8" style="42" customWidth="1"/>
    <col min="15376" max="15376" width="13.28515625" style="42" customWidth="1"/>
    <col min="15377" max="15377" width="14.28515625" style="42" customWidth="1"/>
    <col min="15378" max="15378" width="13.42578125" style="42" customWidth="1"/>
    <col min="15379" max="15379" width="10.7109375" style="42" customWidth="1"/>
    <col min="15380" max="15380" width="11.42578125" style="42" customWidth="1"/>
    <col min="15381" max="15381" width="13" style="42" customWidth="1"/>
    <col min="15382" max="15382" width="17.85546875" style="42" customWidth="1"/>
    <col min="15383" max="15616" width="8.85546875" style="42"/>
    <col min="15617" max="15617" width="6.7109375" style="42" customWidth="1"/>
    <col min="15618" max="15618" width="39.85546875" style="42" customWidth="1"/>
    <col min="15619" max="15619" width="12.42578125" style="42" customWidth="1"/>
    <col min="15620" max="15620" width="13.42578125" style="42" customWidth="1"/>
    <col min="15621" max="15621" width="13.7109375" style="42" customWidth="1"/>
    <col min="15622" max="15622" width="12.85546875" style="42" customWidth="1"/>
    <col min="15623" max="15623" width="8.7109375" style="42" customWidth="1"/>
    <col min="15624" max="15624" width="13.140625" style="42" customWidth="1"/>
    <col min="15625" max="15625" width="11.28515625" style="42" customWidth="1"/>
    <col min="15626" max="15626" width="13.42578125" style="42" customWidth="1"/>
    <col min="15627" max="15627" width="8.28515625" style="42" customWidth="1"/>
    <col min="15628" max="15629" width="11.42578125" style="42" customWidth="1"/>
    <col min="15630" max="15630" width="13.5703125" style="42" customWidth="1"/>
    <col min="15631" max="15631" width="8" style="42" customWidth="1"/>
    <col min="15632" max="15632" width="13.28515625" style="42" customWidth="1"/>
    <col min="15633" max="15633" width="14.28515625" style="42" customWidth="1"/>
    <col min="15634" max="15634" width="13.42578125" style="42" customWidth="1"/>
    <col min="15635" max="15635" width="10.7109375" style="42" customWidth="1"/>
    <col min="15636" max="15636" width="11.42578125" style="42" customWidth="1"/>
    <col min="15637" max="15637" width="13" style="42" customWidth="1"/>
    <col min="15638" max="15638" width="17.85546875" style="42" customWidth="1"/>
    <col min="15639" max="15872" width="8.85546875" style="42"/>
    <col min="15873" max="15873" width="6.7109375" style="42" customWidth="1"/>
    <col min="15874" max="15874" width="39.85546875" style="42" customWidth="1"/>
    <col min="15875" max="15875" width="12.42578125" style="42" customWidth="1"/>
    <col min="15876" max="15876" width="13.42578125" style="42" customWidth="1"/>
    <col min="15877" max="15877" width="13.7109375" style="42" customWidth="1"/>
    <col min="15878" max="15878" width="12.85546875" style="42" customWidth="1"/>
    <col min="15879" max="15879" width="8.7109375" style="42" customWidth="1"/>
    <col min="15880" max="15880" width="13.140625" style="42" customWidth="1"/>
    <col min="15881" max="15881" width="11.28515625" style="42" customWidth="1"/>
    <col min="15882" max="15882" width="13.42578125" style="42" customWidth="1"/>
    <col min="15883" max="15883" width="8.28515625" style="42" customWidth="1"/>
    <col min="15884" max="15885" width="11.42578125" style="42" customWidth="1"/>
    <col min="15886" max="15886" width="13.5703125" style="42" customWidth="1"/>
    <col min="15887" max="15887" width="8" style="42" customWidth="1"/>
    <col min="15888" max="15888" width="13.28515625" style="42" customWidth="1"/>
    <col min="15889" max="15889" width="14.28515625" style="42" customWidth="1"/>
    <col min="15890" max="15890" width="13.42578125" style="42" customWidth="1"/>
    <col min="15891" max="15891" width="10.7109375" style="42" customWidth="1"/>
    <col min="15892" max="15892" width="11.42578125" style="42" customWidth="1"/>
    <col min="15893" max="15893" width="13" style="42" customWidth="1"/>
    <col min="15894" max="15894" width="17.85546875" style="42" customWidth="1"/>
    <col min="15895" max="16128" width="8.85546875" style="42"/>
    <col min="16129" max="16129" width="6.7109375" style="42" customWidth="1"/>
    <col min="16130" max="16130" width="39.85546875" style="42" customWidth="1"/>
    <col min="16131" max="16131" width="12.42578125" style="42" customWidth="1"/>
    <col min="16132" max="16132" width="13.42578125" style="42" customWidth="1"/>
    <col min="16133" max="16133" width="13.7109375" style="42" customWidth="1"/>
    <col min="16134" max="16134" width="12.85546875" style="42" customWidth="1"/>
    <col min="16135" max="16135" width="8.7109375" style="42" customWidth="1"/>
    <col min="16136" max="16136" width="13.140625" style="42" customWidth="1"/>
    <col min="16137" max="16137" width="11.28515625" style="42" customWidth="1"/>
    <col min="16138" max="16138" width="13.42578125" style="42" customWidth="1"/>
    <col min="16139" max="16139" width="8.28515625" style="42" customWidth="1"/>
    <col min="16140" max="16141" width="11.42578125" style="42" customWidth="1"/>
    <col min="16142" max="16142" width="13.5703125" style="42" customWidth="1"/>
    <col min="16143" max="16143" width="8" style="42" customWidth="1"/>
    <col min="16144" max="16144" width="13.28515625" style="42" customWidth="1"/>
    <col min="16145" max="16145" width="14.28515625" style="42" customWidth="1"/>
    <col min="16146" max="16146" width="13.42578125" style="42" customWidth="1"/>
    <col min="16147" max="16147" width="10.7109375" style="42" customWidth="1"/>
    <col min="16148" max="16148" width="11.42578125" style="42" customWidth="1"/>
    <col min="16149" max="16149" width="13" style="42" customWidth="1"/>
    <col min="16150" max="16150" width="17.85546875" style="42" customWidth="1"/>
    <col min="16151" max="16384" width="8.85546875" style="42"/>
  </cols>
  <sheetData>
    <row r="1" spans="1:22" ht="13.9" customHeight="1">
      <c r="L1" s="43"/>
      <c r="M1" s="43"/>
      <c r="P1" s="311" t="s">
        <v>66</v>
      </c>
      <c r="Q1" s="311"/>
    </row>
    <row r="2" spans="1:22" ht="13.9" customHeight="1">
      <c r="L2" s="43"/>
      <c r="M2" s="43"/>
      <c r="N2" s="311" t="s">
        <v>67</v>
      </c>
      <c r="O2" s="311"/>
      <c r="P2" s="311"/>
      <c r="Q2" s="311"/>
    </row>
    <row r="3" spans="1:22" ht="13.9" customHeight="1">
      <c r="L3" s="43"/>
      <c r="M3" s="43"/>
      <c r="N3" s="311" t="s">
        <v>68</v>
      </c>
      <c r="O3" s="311"/>
      <c r="P3" s="311"/>
      <c r="Q3" s="311"/>
    </row>
    <row r="4" spans="1:22" ht="13.9" customHeight="1">
      <c r="L4" s="43"/>
      <c r="M4" s="43"/>
      <c r="N4" s="311" t="s">
        <v>69</v>
      </c>
      <c r="O4" s="311"/>
      <c r="P4" s="311"/>
      <c r="Q4" s="311"/>
    </row>
    <row r="5" spans="1:22" ht="13.9" customHeight="1">
      <c r="L5" s="43"/>
      <c r="M5" s="43"/>
      <c r="N5" s="311" t="s">
        <v>70</v>
      </c>
      <c r="O5" s="311"/>
      <c r="P5" s="311"/>
      <c r="Q5" s="311"/>
    </row>
    <row r="6" spans="1:22" ht="13.9" customHeight="1">
      <c r="L6" s="43"/>
      <c r="M6" s="43"/>
    </row>
    <row r="7" spans="1:22" customFormat="1" ht="19.149999999999999" customHeight="1">
      <c r="A7" s="312" t="s">
        <v>71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44"/>
    </row>
    <row r="8" spans="1:22" customFormat="1" ht="12.6" customHeight="1">
      <c r="A8" s="313" t="s">
        <v>72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45"/>
    </row>
    <row r="9" spans="1:22" customFormat="1" ht="21" customHeight="1">
      <c r="A9" s="313" t="s">
        <v>73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45"/>
    </row>
    <row r="10" spans="1:22" customFormat="1" ht="19.5" customHeight="1">
      <c r="A10" s="322" t="s">
        <v>169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44"/>
    </row>
    <row r="11" spans="1:22" customFormat="1" ht="18.75" customHeight="1">
      <c r="A11" s="314" t="s">
        <v>540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44"/>
    </row>
    <row r="12" spans="1:22" customFormat="1" ht="19.5" customHeight="1">
      <c r="A12" s="315" t="s">
        <v>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46"/>
    </row>
    <row r="13" spans="1:22" customFormat="1" ht="20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46"/>
    </row>
    <row r="14" spans="1:22" customFormat="1" ht="19.5" customHeight="1">
      <c r="A14" s="323" t="s">
        <v>453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95"/>
      <c r="R14" s="46"/>
    </row>
    <row r="15" spans="1:22" customFormat="1" ht="17.25" customHeight="1">
      <c r="A15" s="310" t="s">
        <v>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47"/>
    </row>
    <row r="16" spans="1:22" ht="24.75" customHeight="1">
      <c r="A16" s="300" t="s">
        <v>76</v>
      </c>
      <c r="B16" s="301" t="s">
        <v>0</v>
      </c>
      <c r="C16" s="299" t="s">
        <v>404</v>
      </c>
      <c r="D16" s="300" t="s">
        <v>405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299" t="s">
        <v>406</v>
      </c>
      <c r="Q16" s="299" t="s">
        <v>407</v>
      </c>
      <c r="R16" s="48"/>
      <c r="S16" s="48"/>
      <c r="T16" s="48"/>
      <c r="U16" s="48"/>
      <c r="V16" s="49"/>
    </row>
    <row r="17" spans="1:22" ht="21" customHeight="1">
      <c r="A17" s="300"/>
      <c r="B17" s="302"/>
      <c r="C17" s="299"/>
      <c r="D17" s="300" t="s">
        <v>11</v>
      </c>
      <c r="E17" s="300"/>
      <c r="F17" s="300"/>
      <c r="G17" s="300"/>
      <c r="H17" s="300" t="s">
        <v>78</v>
      </c>
      <c r="I17" s="300"/>
      <c r="J17" s="300"/>
      <c r="K17" s="300"/>
      <c r="L17" s="304" t="s">
        <v>79</v>
      </c>
      <c r="M17" s="305"/>
      <c r="N17" s="305"/>
      <c r="O17" s="306"/>
      <c r="P17" s="299"/>
      <c r="Q17" s="299"/>
      <c r="R17" s="50"/>
      <c r="S17" s="50"/>
      <c r="T17" s="50"/>
      <c r="U17" s="50"/>
      <c r="V17" s="50"/>
    </row>
    <row r="18" spans="1:22" ht="27" customHeight="1">
      <c r="A18" s="300"/>
      <c r="B18" s="302"/>
      <c r="C18" s="299"/>
      <c r="D18" s="300"/>
      <c r="E18" s="300"/>
      <c r="F18" s="300"/>
      <c r="G18" s="300"/>
      <c r="H18" s="300"/>
      <c r="I18" s="300"/>
      <c r="J18" s="300"/>
      <c r="K18" s="300"/>
      <c r="L18" s="307"/>
      <c r="M18" s="308"/>
      <c r="N18" s="308"/>
      <c r="O18" s="309"/>
      <c r="P18" s="299"/>
      <c r="Q18" s="299"/>
      <c r="R18" s="50"/>
      <c r="S18" s="50"/>
      <c r="T18" s="50"/>
      <c r="U18" s="50"/>
      <c r="V18" s="50"/>
    </row>
    <row r="19" spans="1:22" ht="22.5" customHeight="1">
      <c r="A19" s="300"/>
      <c r="B19" s="302"/>
      <c r="C19" s="299"/>
      <c r="D19" s="297" t="s">
        <v>80</v>
      </c>
      <c r="E19" s="294" t="s">
        <v>14</v>
      </c>
      <c r="F19" s="295"/>
      <c r="G19" s="296"/>
      <c r="H19" s="297" t="s">
        <v>80</v>
      </c>
      <c r="I19" s="294" t="s">
        <v>14</v>
      </c>
      <c r="J19" s="295"/>
      <c r="K19" s="296"/>
      <c r="L19" s="297" t="s">
        <v>80</v>
      </c>
      <c r="M19" s="294" t="s">
        <v>14</v>
      </c>
      <c r="N19" s="295"/>
      <c r="O19" s="296"/>
      <c r="P19" s="299"/>
      <c r="Q19" s="299"/>
      <c r="R19" s="50"/>
      <c r="S19" s="50"/>
      <c r="T19" s="50"/>
      <c r="U19" s="50"/>
      <c r="V19" s="50"/>
    </row>
    <row r="20" spans="1:22" ht="45" customHeight="1">
      <c r="A20" s="300"/>
      <c r="B20" s="303"/>
      <c r="C20" s="299"/>
      <c r="D20" s="298"/>
      <c r="E20" s="51" t="s">
        <v>4</v>
      </c>
      <c r="F20" s="51" t="s">
        <v>1</v>
      </c>
      <c r="G20" s="258" t="s">
        <v>15</v>
      </c>
      <c r="H20" s="298"/>
      <c r="I20" s="51" t="s">
        <v>4</v>
      </c>
      <c r="J20" s="51" t="s">
        <v>1</v>
      </c>
      <c r="K20" s="258" t="s">
        <v>15</v>
      </c>
      <c r="L20" s="298"/>
      <c r="M20" s="51" t="s">
        <v>4</v>
      </c>
      <c r="N20" s="51" t="s">
        <v>1</v>
      </c>
      <c r="O20" s="258" t="s">
        <v>15</v>
      </c>
      <c r="P20" s="299"/>
      <c r="Q20" s="299"/>
      <c r="R20" s="49"/>
      <c r="S20" s="48"/>
      <c r="T20" s="48"/>
      <c r="U20" s="48"/>
      <c r="V20" s="48"/>
    </row>
    <row r="21" spans="1:22" s="54" customFormat="1" ht="19.899999999999999" customHeight="1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2">
        <v>7</v>
      </c>
      <c r="H21" s="52">
        <v>8</v>
      </c>
      <c r="I21" s="52">
        <v>9</v>
      </c>
      <c r="J21" s="52">
        <v>10</v>
      </c>
      <c r="K21" s="52">
        <v>11</v>
      </c>
      <c r="L21" s="52">
        <v>12</v>
      </c>
      <c r="M21" s="52">
        <v>13</v>
      </c>
      <c r="N21" s="52">
        <v>14</v>
      </c>
      <c r="O21" s="52">
        <v>15</v>
      </c>
      <c r="P21" s="52">
        <v>16</v>
      </c>
      <c r="Q21" s="52">
        <v>17</v>
      </c>
      <c r="R21" s="53"/>
    </row>
    <row r="22" spans="1:22" s="57" customFormat="1" ht="22.5" customHeight="1">
      <c r="A22" s="55"/>
      <c r="B22" s="289" t="s">
        <v>49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56"/>
    </row>
    <row r="23" spans="1:22" s="57" customFormat="1" ht="88.9" customHeight="1">
      <c r="A23" s="58" t="s">
        <v>133</v>
      </c>
      <c r="B23" s="59" t="s">
        <v>170</v>
      </c>
      <c r="C23" s="96">
        <f>C24+C25+C26</f>
        <v>12114.2</v>
      </c>
      <c r="D23" s="96">
        <f>D24+D25+D26</f>
        <v>12114.2</v>
      </c>
      <c r="E23" s="96">
        <f>D25</f>
        <v>10286</v>
      </c>
      <c r="F23" s="96">
        <f>F27</f>
        <v>1828.2</v>
      </c>
      <c r="G23" s="102">
        <v>0</v>
      </c>
      <c r="H23" s="96">
        <f>H24+H25+H26</f>
        <v>9464.5</v>
      </c>
      <c r="I23" s="96">
        <f>I24+I25+I26</f>
        <v>7998.4</v>
      </c>
      <c r="J23" s="96">
        <f>J24+J25+J26</f>
        <v>1466.1</v>
      </c>
      <c r="K23" s="96">
        <f>K24+K25+K26</f>
        <v>0</v>
      </c>
      <c r="L23" s="96">
        <f>M23+N23</f>
        <v>9464.5</v>
      </c>
      <c r="M23" s="96">
        <f>M25</f>
        <v>7998.4</v>
      </c>
      <c r="N23" s="96">
        <f>N26+N24</f>
        <v>1466.1</v>
      </c>
      <c r="O23" s="96">
        <f>O24+O69</f>
        <v>0</v>
      </c>
      <c r="P23" s="97">
        <f t="shared" ref="P23:P30" si="0">H23/D23</f>
        <v>0.78100000000000003</v>
      </c>
      <c r="Q23" s="98">
        <f>L23/D23</f>
        <v>0.78100000000000003</v>
      </c>
      <c r="R23" s="56"/>
    </row>
    <row r="24" spans="1:22" s="57" customFormat="1" ht="48.6" customHeight="1">
      <c r="A24" s="62" t="s">
        <v>18</v>
      </c>
      <c r="B24" s="72" t="s">
        <v>171</v>
      </c>
      <c r="C24" s="99">
        <v>1510</v>
      </c>
      <c r="D24" s="99">
        <f>C24</f>
        <v>1510</v>
      </c>
      <c r="E24" s="99">
        <f t="shared" ref="E24:O24" si="1">SUM(E28:E31)</f>
        <v>0</v>
      </c>
      <c r="F24" s="99">
        <f>D24</f>
        <v>1510</v>
      </c>
      <c r="G24" s="107">
        <f t="shared" si="1"/>
        <v>0</v>
      </c>
      <c r="H24" s="99">
        <f>I24+J24+K24</f>
        <v>1218.7</v>
      </c>
      <c r="I24" s="99">
        <f t="shared" si="1"/>
        <v>0</v>
      </c>
      <c r="J24" s="99">
        <v>1218.68</v>
      </c>
      <c r="K24" s="99">
        <f t="shared" si="1"/>
        <v>0</v>
      </c>
      <c r="L24" s="99">
        <f>M24+N24+O24</f>
        <v>1218.7</v>
      </c>
      <c r="M24" s="99">
        <f t="shared" si="1"/>
        <v>0</v>
      </c>
      <c r="N24" s="99">
        <f>J24</f>
        <v>1218.7</v>
      </c>
      <c r="O24" s="99">
        <f t="shared" si="1"/>
        <v>0</v>
      </c>
      <c r="P24" s="100">
        <f t="shared" si="0"/>
        <v>0.80700000000000005</v>
      </c>
      <c r="Q24" s="101">
        <f t="shared" ref="Q24:Q33" si="2">L24/D24</f>
        <v>0.80700000000000005</v>
      </c>
      <c r="R24" s="56"/>
    </row>
    <row r="25" spans="1:22" s="57" customFormat="1" ht="81.75" customHeight="1">
      <c r="A25" s="62" t="s">
        <v>84</v>
      </c>
      <c r="B25" s="190" t="s">
        <v>408</v>
      </c>
      <c r="C25" s="99">
        <v>10286</v>
      </c>
      <c r="D25" s="99">
        <f>E25</f>
        <v>10286</v>
      </c>
      <c r="E25" s="99">
        <f>C25</f>
        <v>10286</v>
      </c>
      <c r="F25" s="99">
        <v>0</v>
      </c>
      <c r="G25" s="107">
        <v>0</v>
      </c>
      <c r="H25" s="99">
        <f>I25+J25+K25</f>
        <v>7998.4</v>
      </c>
      <c r="I25" s="99">
        <v>7998.4</v>
      </c>
      <c r="J25" s="99">
        <v>0</v>
      </c>
      <c r="K25" s="99">
        <v>0</v>
      </c>
      <c r="L25" s="99">
        <f>M25+N25+O25</f>
        <v>7998.4</v>
      </c>
      <c r="M25" s="99">
        <f>I25</f>
        <v>7998.4</v>
      </c>
      <c r="N25" s="99">
        <v>0</v>
      </c>
      <c r="O25" s="99">
        <v>0</v>
      </c>
      <c r="P25" s="100">
        <f t="shared" si="0"/>
        <v>0.77800000000000002</v>
      </c>
      <c r="Q25" s="101">
        <f t="shared" si="2"/>
        <v>0.77800000000000002</v>
      </c>
      <c r="R25" s="56"/>
    </row>
    <row r="26" spans="1:22" s="57" customFormat="1" ht="81.75" customHeight="1">
      <c r="A26" s="62" t="s">
        <v>88</v>
      </c>
      <c r="B26" s="190" t="s">
        <v>409</v>
      </c>
      <c r="C26" s="99">
        <v>318.2</v>
      </c>
      <c r="D26" s="99">
        <v>318.2</v>
      </c>
      <c r="E26" s="99">
        <v>0</v>
      </c>
      <c r="F26" s="99">
        <f>D26</f>
        <v>318.2</v>
      </c>
      <c r="G26" s="107">
        <v>0</v>
      </c>
      <c r="H26" s="99">
        <f>I26+J26+K26</f>
        <v>247.4</v>
      </c>
      <c r="I26" s="99">
        <v>0</v>
      </c>
      <c r="J26" s="99">
        <v>247.37</v>
      </c>
      <c r="K26" s="99">
        <v>0</v>
      </c>
      <c r="L26" s="99">
        <f>M26+N26+O26</f>
        <v>247.4</v>
      </c>
      <c r="M26" s="99">
        <v>0</v>
      </c>
      <c r="N26" s="99">
        <f>J26</f>
        <v>247.4</v>
      </c>
      <c r="O26" s="99">
        <v>0</v>
      </c>
      <c r="P26" s="100">
        <f t="shared" si="0"/>
        <v>0.77700000000000002</v>
      </c>
      <c r="Q26" s="101">
        <f t="shared" si="2"/>
        <v>0.77700000000000002</v>
      </c>
      <c r="R26" s="56"/>
    </row>
    <row r="27" spans="1:22" s="57" customFormat="1" ht="73.900000000000006" customHeight="1">
      <c r="A27" s="62"/>
      <c r="B27" s="190" t="s">
        <v>410</v>
      </c>
      <c r="C27" s="99">
        <v>11970.8</v>
      </c>
      <c r="D27" s="99">
        <f>D26+D25+D24</f>
        <v>12114.2</v>
      </c>
      <c r="E27" s="99">
        <f>E25</f>
        <v>10286</v>
      </c>
      <c r="F27" s="99">
        <f>D26+D24</f>
        <v>1828.2</v>
      </c>
      <c r="G27" s="107">
        <v>0</v>
      </c>
      <c r="H27" s="99">
        <f>I27+J27+K27</f>
        <v>9464.5</v>
      </c>
      <c r="I27" s="99">
        <f>I24+I25+I26</f>
        <v>7998.4</v>
      </c>
      <c r="J27" s="99">
        <f>J26+J24</f>
        <v>1466.1</v>
      </c>
      <c r="K27" s="99">
        <v>0</v>
      </c>
      <c r="L27" s="99">
        <f>M27+N27+O27</f>
        <v>9464.5</v>
      </c>
      <c r="M27" s="99">
        <f>I27</f>
        <v>7998.4</v>
      </c>
      <c r="N27" s="99">
        <f>J27</f>
        <v>1466.1</v>
      </c>
      <c r="O27" s="99">
        <v>0</v>
      </c>
      <c r="P27" s="100">
        <f t="shared" si="0"/>
        <v>0.78100000000000003</v>
      </c>
      <c r="Q27" s="101">
        <f t="shared" si="2"/>
        <v>0.78100000000000003</v>
      </c>
      <c r="R27" s="56"/>
    </row>
    <row r="28" spans="1:22" s="57" customFormat="1" ht="56.25" customHeight="1">
      <c r="A28" s="74" t="s">
        <v>22</v>
      </c>
      <c r="B28" s="75" t="s">
        <v>172</v>
      </c>
      <c r="C28" s="102">
        <f>C29+C30</f>
        <v>13095.2</v>
      </c>
      <c r="D28" s="103">
        <f>D29+D30</f>
        <v>13095.2</v>
      </c>
      <c r="E28" s="103">
        <v>0</v>
      </c>
      <c r="F28" s="104">
        <f>F29+F30</f>
        <v>13095.2</v>
      </c>
      <c r="G28" s="259">
        <v>0</v>
      </c>
      <c r="H28" s="103">
        <f>H29+H30</f>
        <v>11871</v>
      </c>
      <c r="I28" s="106">
        <v>0</v>
      </c>
      <c r="J28" s="106">
        <f>J29+J30</f>
        <v>11871</v>
      </c>
      <c r="K28" s="106">
        <v>0</v>
      </c>
      <c r="L28" s="103">
        <f>L29+L30</f>
        <v>11871</v>
      </c>
      <c r="M28" s="106">
        <v>0</v>
      </c>
      <c r="N28" s="106">
        <f>N29+N30</f>
        <v>11871</v>
      </c>
      <c r="O28" s="105">
        <v>0</v>
      </c>
      <c r="P28" s="97">
        <f t="shared" si="0"/>
        <v>0.90700000000000003</v>
      </c>
      <c r="Q28" s="98">
        <f t="shared" si="2"/>
        <v>0.90700000000000003</v>
      </c>
      <c r="R28" s="56"/>
    </row>
    <row r="29" spans="1:22" s="57" customFormat="1" ht="91.15" customHeight="1">
      <c r="A29" s="62" t="s">
        <v>23</v>
      </c>
      <c r="B29" s="63" t="s">
        <v>173</v>
      </c>
      <c r="C29" s="107">
        <v>11802.6</v>
      </c>
      <c r="D29" s="108">
        <f>C29</f>
        <v>11802.6</v>
      </c>
      <c r="E29" s="108">
        <v>0</v>
      </c>
      <c r="F29" s="109">
        <f>D29</f>
        <v>11802.6</v>
      </c>
      <c r="G29" s="212">
        <v>0</v>
      </c>
      <c r="H29" s="108">
        <f>I29+J29+K29</f>
        <v>10630.1</v>
      </c>
      <c r="I29" s="111">
        <v>0</v>
      </c>
      <c r="J29" s="111">
        <v>10630.1</v>
      </c>
      <c r="K29" s="111">
        <v>0</v>
      </c>
      <c r="L29" s="108">
        <f>M29+N29+O29</f>
        <v>10630.1</v>
      </c>
      <c r="M29" s="111">
        <v>0</v>
      </c>
      <c r="N29" s="111">
        <f>J29</f>
        <v>10630.1</v>
      </c>
      <c r="O29" s="110">
        <v>0</v>
      </c>
      <c r="P29" s="100">
        <f t="shared" si="0"/>
        <v>0.90100000000000002</v>
      </c>
      <c r="Q29" s="194">
        <f t="shared" si="2"/>
        <v>0.90100000000000002</v>
      </c>
      <c r="R29" s="56"/>
    </row>
    <row r="30" spans="1:22" s="57" customFormat="1" ht="73.150000000000006" customHeight="1">
      <c r="A30" s="62" t="s">
        <v>174</v>
      </c>
      <c r="B30" s="112" t="s">
        <v>175</v>
      </c>
      <c r="C30" s="107">
        <v>1292.5999999999999</v>
      </c>
      <c r="D30" s="108">
        <f>E30+F30+G30</f>
        <v>1292.5999999999999</v>
      </c>
      <c r="E30" s="108">
        <v>0</v>
      </c>
      <c r="F30" s="109">
        <f>C30</f>
        <v>1292.5999999999999</v>
      </c>
      <c r="G30" s="212">
        <v>0</v>
      </c>
      <c r="H30" s="108">
        <f>I30+J30+K30</f>
        <v>1240.9000000000001</v>
      </c>
      <c r="I30" s="111">
        <v>0</v>
      </c>
      <c r="J30" s="111">
        <v>1240.9000000000001</v>
      </c>
      <c r="K30" s="111">
        <v>0</v>
      </c>
      <c r="L30" s="108">
        <f>M30+N30+O30</f>
        <v>1240.9000000000001</v>
      </c>
      <c r="M30" s="111">
        <v>0</v>
      </c>
      <c r="N30" s="111">
        <f>J30</f>
        <v>1240.9000000000001</v>
      </c>
      <c r="O30" s="110">
        <v>0</v>
      </c>
      <c r="P30" s="100">
        <f t="shared" si="0"/>
        <v>0.96</v>
      </c>
      <c r="Q30" s="194">
        <f t="shared" si="2"/>
        <v>0.96</v>
      </c>
      <c r="R30" s="56"/>
    </row>
    <row r="31" spans="1:22" s="57" customFormat="1" ht="87" customHeight="1">
      <c r="A31" s="74" t="s">
        <v>142</v>
      </c>
      <c r="B31" s="113" t="s">
        <v>176</v>
      </c>
      <c r="C31" s="102">
        <f>C32+C33</f>
        <v>34559.4</v>
      </c>
      <c r="D31" s="103">
        <f>D32+D33</f>
        <v>34559.5</v>
      </c>
      <c r="E31" s="103">
        <f t="shared" ref="E31:O31" si="3">E32+E33</f>
        <v>0</v>
      </c>
      <c r="F31" s="103">
        <f t="shared" si="3"/>
        <v>34559.5</v>
      </c>
      <c r="G31" s="104">
        <v>0</v>
      </c>
      <c r="H31" s="103">
        <f t="shared" si="3"/>
        <v>31495.200000000001</v>
      </c>
      <c r="I31" s="103">
        <f t="shared" si="3"/>
        <v>0</v>
      </c>
      <c r="J31" s="103">
        <f>J32+J33</f>
        <v>31495.200000000001</v>
      </c>
      <c r="K31" s="103">
        <f t="shared" si="3"/>
        <v>0</v>
      </c>
      <c r="L31" s="103">
        <f t="shared" si="3"/>
        <v>31495.200000000001</v>
      </c>
      <c r="M31" s="103">
        <f t="shared" si="3"/>
        <v>0</v>
      </c>
      <c r="N31" s="103">
        <f t="shared" si="3"/>
        <v>31495.200000000001</v>
      </c>
      <c r="O31" s="103">
        <f t="shared" si="3"/>
        <v>0</v>
      </c>
      <c r="P31" s="97">
        <f>L31/D31</f>
        <v>0.91100000000000003</v>
      </c>
      <c r="Q31" s="126">
        <f t="shared" si="2"/>
        <v>0.91100000000000003</v>
      </c>
      <c r="R31" s="56"/>
    </row>
    <row r="32" spans="1:22" s="57" customFormat="1" ht="84" customHeight="1">
      <c r="A32" s="62" t="s">
        <v>144</v>
      </c>
      <c r="B32" s="112" t="s">
        <v>177</v>
      </c>
      <c r="C32" s="107">
        <v>28557.4</v>
      </c>
      <c r="D32" s="108">
        <f>C32</f>
        <v>28557.4</v>
      </c>
      <c r="E32" s="108">
        <v>0</v>
      </c>
      <c r="F32" s="109">
        <f>D32</f>
        <v>28557.4</v>
      </c>
      <c r="G32" s="212">
        <v>0</v>
      </c>
      <c r="H32" s="108">
        <f>J32</f>
        <v>27153.9</v>
      </c>
      <c r="I32" s="111">
        <v>0</v>
      </c>
      <c r="J32" s="111">
        <v>27153.9</v>
      </c>
      <c r="K32" s="111">
        <v>0</v>
      </c>
      <c r="L32" s="108">
        <f>N32</f>
        <v>27153.9</v>
      </c>
      <c r="M32" s="111">
        <v>0</v>
      </c>
      <c r="N32" s="111">
        <f>J32</f>
        <v>27153.9</v>
      </c>
      <c r="O32" s="110">
        <v>0</v>
      </c>
      <c r="P32" s="100">
        <f>H32/D32</f>
        <v>0.95099999999999996</v>
      </c>
      <c r="Q32" s="129">
        <f t="shared" si="2"/>
        <v>0.95099999999999996</v>
      </c>
      <c r="R32" s="56"/>
    </row>
    <row r="33" spans="1:18" s="57" customFormat="1" ht="54" customHeight="1">
      <c r="A33" s="62" t="s">
        <v>146</v>
      </c>
      <c r="B33" s="112" t="s">
        <v>178</v>
      </c>
      <c r="C33" s="107">
        <f t="shared" ref="C33:O33" si="4">C34+C35+C36+C37+C38+C39+C40+C41+C42+C43</f>
        <v>6002</v>
      </c>
      <c r="D33" s="107">
        <f t="shared" si="4"/>
        <v>6002.1</v>
      </c>
      <c r="E33" s="107">
        <f t="shared" si="4"/>
        <v>0</v>
      </c>
      <c r="F33" s="107">
        <f t="shared" si="4"/>
        <v>6002.1</v>
      </c>
      <c r="G33" s="107">
        <f t="shared" si="4"/>
        <v>0</v>
      </c>
      <c r="H33" s="107">
        <f t="shared" si="4"/>
        <v>4341.3</v>
      </c>
      <c r="I33" s="107">
        <f t="shared" si="4"/>
        <v>0</v>
      </c>
      <c r="J33" s="107">
        <f t="shared" si="4"/>
        <v>4341.3</v>
      </c>
      <c r="K33" s="107">
        <f t="shared" si="4"/>
        <v>0</v>
      </c>
      <c r="L33" s="107">
        <f t="shared" si="4"/>
        <v>4341.3</v>
      </c>
      <c r="M33" s="107">
        <f t="shared" si="4"/>
        <v>0</v>
      </c>
      <c r="N33" s="107">
        <f t="shared" si="4"/>
        <v>4341.3</v>
      </c>
      <c r="O33" s="107">
        <f t="shared" si="4"/>
        <v>0</v>
      </c>
      <c r="P33" s="100">
        <f>H33/D33</f>
        <v>0.72299999999999998</v>
      </c>
      <c r="Q33" s="129">
        <f t="shared" si="2"/>
        <v>0.72299999999999998</v>
      </c>
      <c r="R33" s="56"/>
    </row>
    <row r="34" spans="1:18" s="57" customFormat="1" ht="40.15" hidden="1" customHeight="1">
      <c r="A34" s="62"/>
      <c r="B34" s="112" t="s">
        <v>179</v>
      </c>
      <c r="C34" s="107">
        <v>0</v>
      </c>
      <c r="D34" s="108">
        <v>0</v>
      </c>
      <c r="E34" s="108">
        <v>0</v>
      </c>
      <c r="F34" s="109">
        <v>0</v>
      </c>
      <c r="G34" s="212">
        <v>0</v>
      </c>
      <c r="H34" s="108">
        <v>0</v>
      </c>
      <c r="I34" s="111">
        <v>0</v>
      </c>
      <c r="J34" s="111">
        <v>0</v>
      </c>
      <c r="K34" s="111">
        <v>0</v>
      </c>
      <c r="L34" s="108">
        <v>0</v>
      </c>
      <c r="M34" s="111">
        <v>0</v>
      </c>
      <c r="N34" s="111">
        <v>0</v>
      </c>
      <c r="O34" s="110">
        <v>0</v>
      </c>
      <c r="P34" s="100">
        <v>0</v>
      </c>
      <c r="Q34" s="129">
        <v>0</v>
      </c>
      <c r="R34" s="56"/>
    </row>
    <row r="35" spans="1:18" s="57" customFormat="1" ht="41.45" customHeight="1">
      <c r="A35" s="62"/>
      <c r="B35" s="112" t="s">
        <v>180</v>
      </c>
      <c r="C35" s="107">
        <v>304.5</v>
      </c>
      <c r="D35" s="108">
        <f>F35</f>
        <v>304.5</v>
      </c>
      <c r="E35" s="108">
        <v>0</v>
      </c>
      <c r="F35" s="109">
        <v>304.5</v>
      </c>
      <c r="G35" s="212">
        <v>0</v>
      </c>
      <c r="H35" s="108">
        <f>J35</f>
        <v>304.5</v>
      </c>
      <c r="I35" s="111">
        <v>0</v>
      </c>
      <c r="J35" s="111">
        <f>F35</f>
        <v>304.5</v>
      </c>
      <c r="K35" s="111">
        <v>0</v>
      </c>
      <c r="L35" s="108">
        <f>N35</f>
        <v>304.5</v>
      </c>
      <c r="M35" s="111">
        <v>0</v>
      </c>
      <c r="N35" s="111">
        <f>J35</f>
        <v>304.5</v>
      </c>
      <c r="O35" s="110">
        <v>0</v>
      </c>
      <c r="P35" s="100">
        <f>H35/D35</f>
        <v>1</v>
      </c>
      <c r="Q35" s="129">
        <f>L35/D35</f>
        <v>1</v>
      </c>
      <c r="R35" s="56"/>
    </row>
    <row r="36" spans="1:18" s="57" customFormat="1" ht="79.900000000000006" customHeight="1">
      <c r="A36" s="62"/>
      <c r="B36" s="190" t="s">
        <v>411</v>
      </c>
      <c r="C36" s="107">
        <v>177.5</v>
      </c>
      <c r="D36" s="108">
        <f>F36</f>
        <v>177.5</v>
      </c>
      <c r="E36" s="108">
        <v>0</v>
      </c>
      <c r="F36" s="109">
        <v>177.5</v>
      </c>
      <c r="G36" s="212">
        <v>0</v>
      </c>
      <c r="H36" s="108">
        <f>J36</f>
        <v>177.5</v>
      </c>
      <c r="I36" s="111">
        <v>0</v>
      </c>
      <c r="J36" s="111">
        <f>F36</f>
        <v>177.5</v>
      </c>
      <c r="K36" s="111">
        <v>0</v>
      </c>
      <c r="L36" s="108">
        <f>N36</f>
        <v>177.5</v>
      </c>
      <c r="M36" s="111">
        <v>0</v>
      </c>
      <c r="N36" s="111">
        <f>J36</f>
        <v>177.5</v>
      </c>
      <c r="O36" s="110">
        <v>0</v>
      </c>
      <c r="P36" s="100">
        <f>H36/D36</f>
        <v>1</v>
      </c>
      <c r="Q36" s="129">
        <f>L36/D36</f>
        <v>1</v>
      </c>
      <c r="R36" s="56"/>
    </row>
    <row r="37" spans="1:18" s="57" customFormat="1" ht="52.9" customHeight="1">
      <c r="A37" s="62"/>
      <c r="B37" s="190" t="s">
        <v>458</v>
      </c>
      <c r="C37" s="107">
        <v>3159.48</v>
      </c>
      <c r="D37" s="108">
        <f>F37</f>
        <v>3159.5</v>
      </c>
      <c r="E37" s="108">
        <v>0</v>
      </c>
      <c r="F37" s="109">
        <f>C37</f>
        <v>3159.5</v>
      </c>
      <c r="G37" s="212">
        <v>0</v>
      </c>
      <c r="H37" s="108">
        <f>J37</f>
        <v>3157.8</v>
      </c>
      <c r="I37" s="111">
        <v>0</v>
      </c>
      <c r="J37" s="111">
        <v>3157.76</v>
      </c>
      <c r="K37" s="111">
        <v>0</v>
      </c>
      <c r="L37" s="108">
        <f>N37</f>
        <v>3157.8</v>
      </c>
      <c r="M37" s="111">
        <v>0</v>
      </c>
      <c r="N37" s="111">
        <f>J37</f>
        <v>3157.8</v>
      </c>
      <c r="O37" s="110">
        <v>0</v>
      </c>
      <c r="P37" s="100">
        <f>H37/D37</f>
        <v>0.999</v>
      </c>
      <c r="Q37" s="129">
        <f>L37/D37</f>
        <v>0.999</v>
      </c>
      <c r="R37" s="56"/>
    </row>
    <row r="38" spans="1:18" s="57" customFormat="1" ht="49.9" customHeight="1">
      <c r="A38" s="62"/>
      <c r="B38" s="190" t="s">
        <v>459</v>
      </c>
      <c r="C38" s="107">
        <v>123</v>
      </c>
      <c r="D38" s="108">
        <f t="shared" ref="D38:D43" si="5">F38</f>
        <v>123</v>
      </c>
      <c r="E38" s="108">
        <v>0</v>
      </c>
      <c r="F38" s="109">
        <v>123</v>
      </c>
      <c r="G38" s="212">
        <v>0</v>
      </c>
      <c r="H38" s="108">
        <f>J38</f>
        <v>123</v>
      </c>
      <c r="I38" s="111">
        <v>0</v>
      </c>
      <c r="J38" s="111">
        <v>122.99</v>
      </c>
      <c r="K38" s="111">
        <v>0</v>
      </c>
      <c r="L38" s="108">
        <f>N38</f>
        <v>123</v>
      </c>
      <c r="M38" s="111">
        <v>0</v>
      </c>
      <c r="N38" s="111">
        <f>J38</f>
        <v>123</v>
      </c>
      <c r="O38" s="110">
        <v>0</v>
      </c>
      <c r="P38" s="100">
        <f>H38/D38</f>
        <v>1</v>
      </c>
      <c r="Q38" s="129">
        <f>L38/D38</f>
        <v>1</v>
      </c>
      <c r="R38" s="56"/>
    </row>
    <row r="39" spans="1:18" s="57" customFormat="1" ht="93" hidden="1" customHeight="1">
      <c r="A39" s="62"/>
      <c r="B39" s="190" t="s">
        <v>460</v>
      </c>
      <c r="C39" s="107">
        <v>0</v>
      </c>
      <c r="D39" s="108">
        <f t="shared" si="5"/>
        <v>0</v>
      </c>
      <c r="E39" s="108">
        <v>0</v>
      </c>
      <c r="F39" s="109">
        <v>0</v>
      </c>
      <c r="G39" s="212">
        <v>0</v>
      </c>
      <c r="H39" s="108">
        <v>0</v>
      </c>
      <c r="I39" s="111">
        <v>0</v>
      </c>
      <c r="J39" s="111">
        <v>0</v>
      </c>
      <c r="K39" s="111">
        <v>0</v>
      </c>
      <c r="L39" s="108">
        <v>0</v>
      </c>
      <c r="M39" s="111">
        <v>0</v>
      </c>
      <c r="N39" s="111">
        <v>0</v>
      </c>
      <c r="O39" s="110">
        <v>0</v>
      </c>
      <c r="P39" s="100" t="e">
        <f t="shared" ref="P39:P66" si="6">H39/D39</f>
        <v>#DIV/0!</v>
      </c>
      <c r="Q39" s="129" t="e">
        <f t="shared" ref="Q39:Q66" si="7">L39/D39</f>
        <v>#DIV/0!</v>
      </c>
      <c r="R39" s="56"/>
    </row>
    <row r="40" spans="1:18" s="57" customFormat="1" ht="51" customHeight="1">
      <c r="A40" s="62"/>
      <c r="B40" s="190" t="s">
        <v>461</v>
      </c>
      <c r="C40" s="107">
        <v>156.5</v>
      </c>
      <c r="D40" s="108">
        <f t="shared" si="5"/>
        <v>156.5</v>
      </c>
      <c r="E40" s="108">
        <v>0</v>
      </c>
      <c r="F40" s="109">
        <v>156.5</v>
      </c>
      <c r="G40" s="212">
        <v>0</v>
      </c>
      <c r="H40" s="108">
        <f>J40</f>
        <v>156.5</v>
      </c>
      <c r="I40" s="111">
        <v>0</v>
      </c>
      <c r="J40" s="111">
        <v>156.5</v>
      </c>
      <c r="K40" s="111">
        <v>0</v>
      </c>
      <c r="L40" s="108">
        <f>N40</f>
        <v>156.5</v>
      </c>
      <c r="M40" s="111">
        <v>0</v>
      </c>
      <c r="N40" s="111">
        <f>J40</f>
        <v>156.5</v>
      </c>
      <c r="O40" s="110">
        <v>0</v>
      </c>
      <c r="P40" s="100">
        <f t="shared" si="6"/>
        <v>1</v>
      </c>
      <c r="Q40" s="129">
        <f t="shared" si="7"/>
        <v>1</v>
      </c>
      <c r="R40" s="56"/>
    </row>
    <row r="41" spans="1:18" s="57" customFormat="1" ht="49.9" customHeight="1">
      <c r="A41" s="62"/>
      <c r="B41" s="190" t="s">
        <v>462</v>
      </c>
      <c r="C41" s="107">
        <v>1535.06</v>
      </c>
      <c r="D41" s="108">
        <f t="shared" si="5"/>
        <v>1535.1</v>
      </c>
      <c r="E41" s="108">
        <v>0</v>
      </c>
      <c r="F41" s="109">
        <f>C41</f>
        <v>1535.1</v>
      </c>
      <c r="G41" s="212">
        <v>0</v>
      </c>
      <c r="H41" s="108">
        <v>0</v>
      </c>
      <c r="I41" s="111">
        <v>0</v>
      </c>
      <c r="J41" s="111">
        <v>0</v>
      </c>
      <c r="K41" s="111">
        <v>0</v>
      </c>
      <c r="L41" s="108">
        <v>0</v>
      </c>
      <c r="M41" s="111">
        <v>0</v>
      </c>
      <c r="N41" s="111">
        <v>0</v>
      </c>
      <c r="O41" s="110">
        <v>0</v>
      </c>
      <c r="P41" s="100">
        <f t="shared" si="6"/>
        <v>0</v>
      </c>
      <c r="Q41" s="129">
        <f t="shared" si="7"/>
        <v>0</v>
      </c>
      <c r="R41" s="56"/>
    </row>
    <row r="42" spans="1:18" s="57" customFormat="1" ht="82.15" customHeight="1">
      <c r="A42" s="62"/>
      <c r="B42" s="190" t="s">
        <v>463</v>
      </c>
      <c r="C42" s="107">
        <v>124</v>
      </c>
      <c r="D42" s="108">
        <f t="shared" si="5"/>
        <v>124</v>
      </c>
      <c r="E42" s="108">
        <v>0</v>
      </c>
      <c r="F42" s="109">
        <f>C42</f>
        <v>124</v>
      </c>
      <c r="G42" s="212">
        <v>0</v>
      </c>
      <c r="H42" s="108">
        <v>0</v>
      </c>
      <c r="I42" s="111">
        <v>0</v>
      </c>
      <c r="J42" s="111">
        <v>0</v>
      </c>
      <c r="K42" s="111">
        <v>0</v>
      </c>
      <c r="L42" s="108">
        <v>0</v>
      </c>
      <c r="M42" s="111">
        <v>0</v>
      </c>
      <c r="N42" s="111">
        <v>0</v>
      </c>
      <c r="O42" s="110">
        <v>0</v>
      </c>
      <c r="P42" s="100">
        <f t="shared" si="6"/>
        <v>0</v>
      </c>
      <c r="Q42" s="129">
        <f t="shared" si="7"/>
        <v>0</v>
      </c>
      <c r="R42" s="56"/>
    </row>
    <row r="43" spans="1:18" s="57" customFormat="1" ht="97.5" customHeight="1">
      <c r="A43" s="62"/>
      <c r="B43" s="190" t="s">
        <v>464</v>
      </c>
      <c r="C43" s="107">
        <v>422</v>
      </c>
      <c r="D43" s="108">
        <f t="shared" si="5"/>
        <v>422</v>
      </c>
      <c r="E43" s="108">
        <v>0</v>
      </c>
      <c r="F43" s="109">
        <f>C43</f>
        <v>422</v>
      </c>
      <c r="G43" s="212">
        <v>0</v>
      </c>
      <c r="H43" s="108">
        <f>J43</f>
        <v>422</v>
      </c>
      <c r="I43" s="111">
        <v>0</v>
      </c>
      <c r="J43" s="111">
        <v>422</v>
      </c>
      <c r="K43" s="111">
        <v>0</v>
      </c>
      <c r="L43" s="108">
        <f>N43</f>
        <v>422</v>
      </c>
      <c r="M43" s="111">
        <v>0</v>
      </c>
      <c r="N43" s="111">
        <f>J43</f>
        <v>422</v>
      </c>
      <c r="O43" s="110">
        <v>0</v>
      </c>
      <c r="P43" s="100">
        <f t="shared" si="6"/>
        <v>1</v>
      </c>
      <c r="Q43" s="129">
        <f t="shared" si="7"/>
        <v>1</v>
      </c>
      <c r="R43" s="56"/>
    </row>
    <row r="44" spans="1:18" s="57" customFormat="1" ht="112.5" customHeight="1">
      <c r="A44" s="74" t="s">
        <v>149</v>
      </c>
      <c r="B44" s="208" t="s">
        <v>465</v>
      </c>
      <c r="C44" s="102">
        <f>C45+C46</f>
        <v>59372.1</v>
      </c>
      <c r="D44" s="103">
        <f>E44+F44+G44</f>
        <v>59372.2</v>
      </c>
      <c r="E44" s="103">
        <f>E45</f>
        <v>57590.9</v>
      </c>
      <c r="F44" s="104">
        <f>F46</f>
        <v>1781.3</v>
      </c>
      <c r="G44" s="259">
        <v>0</v>
      </c>
      <c r="H44" s="103">
        <f>I44+J44</f>
        <v>40448.9</v>
      </c>
      <c r="I44" s="106">
        <f>I45</f>
        <v>39235.4</v>
      </c>
      <c r="J44" s="106">
        <f>J46</f>
        <v>1213.5</v>
      </c>
      <c r="K44" s="106">
        <v>0</v>
      </c>
      <c r="L44" s="103">
        <f>M44+N44</f>
        <v>40448.9</v>
      </c>
      <c r="M44" s="106">
        <f>I44</f>
        <v>39235.4</v>
      </c>
      <c r="N44" s="106">
        <f>J44</f>
        <v>1213.5</v>
      </c>
      <c r="O44" s="105">
        <v>0</v>
      </c>
      <c r="P44" s="97">
        <f t="shared" si="6"/>
        <v>0.68100000000000005</v>
      </c>
      <c r="Q44" s="126">
        <f t="shared" si="7"/>
        <v>0.68100000000000005</v>
      </c>
      <c r="R44" s="56"/>
    </row>
    <row r="45" spans="1:18" s="57" customFormat="1" ht="140.25" customHeight="1">
      <c r="A45" s="62" t="s">
        <v>151</v>
      </c>
      <c r="B45" s="190" t="s">
        <v>466</v>
      </c>
      <c r="C45" s="107">
        <v>57590.9</v>
      </c>
      <c r="D45" s="108">
        <f>E45</f>
        <v>57590.9</v>
      </c>
      <c r="E45" s="108">
        <f>E47+E48+E49+E50+E51+E52+E53+E54+E55+E56+E57+E58+E59+E60+E62+E63+E61</f>
        <v>57590.9</v>
      </c>
      <c r="F45" s="109">
        <v>0</v>
      </c>
      <c r="G45" s="212">
        <v>0</v>
      </c>
      <c r="H45" s="108">
        <f>I45</f>
        <v>39235.4</v>
      </c>
      <c r="I45" s="111">
        <f>I47+I48+I49+I50+I51+I52+I53+I54+I55+I56+I57+I58+I59+I60+I61+I62+I63</f>
        <v>39235.4</v>
      </c>
      <c r="J45" s="111">
        <v>0</v>
      </c>
      <c r="K45" s="111">
        <v>0</v>
      </c>
      <c r="L45" s="108">
        <f>M45</f>
        <v>39235.4</v>
      </c>
      <c r="M45" s="111">
        <f>I45</f>
        <v>39235.4</v>
      </c>
      <c r="N45" s="111">
        <v>0</v>
      </c>
      <c r="O45" s="110">
        <v>0</v>
      </c>
      <c r="P45" s="100">
        <f t="shared" si="6"/>
        <v>0.68100000000000005</v>
      </c>
      <c r="Q45" s="129">
        <f t="shared" si="7"/>
        <v>0.68100000000000005</v>
      </c>
      <c r="R45" s="56"/>
    </row>
    <row r="46" spans="1:18" s="57" customFormat="1" ht="127.5" customHeight="1">
      <c r="A46" s="62" t="s">
        <v>455</v>
      </c>
      <c r="B46" s="190" t="s">
        <v>467</v>
      </c>
      <c r="C46" s="107">
        <v>1781.2</v>
      </c>
      <c r="D46" s="108">
        <f>F46</f>
        <v>1781.3</v>
      </c>
      <c r="E46" s="108">
        <v>0</v>
      </c>
      <c r="F46" s="109">
        <f>F47+F48+F49+F50+F51+F52+F53+F54+F55+F56+F57+F58+F59+F60+F61+F62+F63</f>
        <v>1781.3</v>
      </c>
      <c r="G46" s="212">
        <v>0</v>
      </c>
      <c r="H46" s="111">
        <f>J46</f>
        <v>1213.5</v>
      </c>
      <c r="I46" s="111">
        <v>0</v>
      </c>
      <c r="J46" s="111">
        <f>J47+J48+J49+J50+J51+J52+J53+J54+J55+J56+J57+J58+J59+J60+J61+J62+J63</f>
        <v>1213.5</v>
      </c>
      <c r="K46" s="111">
        <v>0</v>
      </c>
      <c r="L46" s="108">
        <f t="shared" ref="L46:N63" si="8">H46</f>
        <v>1213.5</v>
      </c>
      <c r="M46" s="108">
        <f t="shared" si="8"/>
        <v>0</v>
      </c>
      <c r="N46" s="108">
        <f t="shared" si="8"/>
        <v>1213.5</v>
      </c>
      <c r="O46" s="110">
        <v>0</v>
      </c>
      <c r="P46" s="100">
        <f t="shared" si="6"/>
        <v>0.68100000000000005</v>
      </c>
      <c r="Q46" s="129">
        <f t="shared" si="7"/>
        <v>0.68100000000000005</v>
      </c>
      <c r="R46" s="56"/>
    </row>
    <row r="47" spans="1:18" s="57" customFormat="1" ht="83.25" customHeight="1">
      <c r="A47" s="62"/>
      <c r="B47" s="190" t="s">
        <v>468</v>
      </c>
      <c r="C47" s="107">
        <v>1757.7</v>
      </c>
      <c r="D47" s="108">
        <f>E47+F47+G47</f>
        <v>1757.7</v>
      </c>
      <c r="E47" s="260">
        <v>1704.97</v>
      </c>
      <c r="F47" s="109">
        <v>52.73</v>
      </c>
      <c r="G47" s="212">
        <v>0</v>
      </c>
      <c r="H47" s="108">
        <v>1757.7</v>
      </c>
      <c r="I47" s="111">
        <v>1704.9</v>
      </c>
      <c r="J47" s="111">
        <v>52.73</v>
      </c>
      <c r="K47" s="111">
        <v>0</v>
      </c>
      <c r="L47" s="108">
        <f t="shared" si="8"/>
        <v>1757.7</v>
      </c>
      <c r="M47" s="108">
        <f t="shared" si="8"/>
        <v>1704.9</v>
      </c>
      <c r="N47" s="108">
        <f t="shared" si="8"/>
        <v>52.7</v>
      </c>
      <c r="O47" s="110">
        <v>0</v>
      </c>
      <c r="P47" s="100">
        <f t="shared" si="6"/>
        <v>1</v>
      </c>
      <c r="Q47" s="129">
        <f t="shared" si="7"/>
        <v>1</v>
      </c>
      <c r="R47" s="56"/>
    </row>
    <row r="48" spans="1:18" s="57" customFormat="1" ht="83.25" customHeight="1">
      <c r="A48" s="62"/>
      <c r="B48" s="190" t="s">
        <v>469</v>
      </c>
      <c r="C48" s="107">
        <v>300</v>
      </c>
      <c r="D48" s="108">
        <f t="shared" ref="D48:D63" si="9">E48+F48+G48</f>
        <v>300</v>
      </c>
      <c r="E48" s="260">
        <v>291</v>
      </c>
      <c r="F48" s="109">
        <v>9</v>
      </c>
      <c r="G48" s="212">
        <v>0</v>
      </c>
      <c r="H48" s="108">
        <v>299.60000000000002</v>
      </c>
      <c r="I48" s="111">
        <v>290.60000000000002</v>
      </c>
      <c r="J48" s="111">
        <v>9</v>
      </c>
      <c r="K48" s="111">
        <v>0</v>
      </c>
      <c r="L48" s="108">
        <f t="shared" si="8"/>
        <v>299.60000000000002</v>
      </c>
      <c r="M48" s="108">
        <f t="shared" si="8"/>
        <v>290.60000000000002</v>
      </c>
      <c r="N48" s="108">
        <f t="shared" si="8"/>
        <v>9</v>
      </c>
      <c r="O48" s="110">
        <v>0</v>
      </c>
      <c r="P48" s="100">
        <f t="shared" si="6"/>
        <v>0.999</v>
      </c>
      <c r="Q48" s="129">
        <f t="shared" si="7"/>
        <v>0.999</v>
      </c>
      <c r="R48" s="56"/>
    </row>
    <row r="49" spans="1:18" s="57" customFormat="1" ht="33.75" customHeight="1">
      <c r="A49" s="62"/>
      <c r="B49" s="190" t="s">
        <v>470</v>
      </c>
      <c r="C49" s="107">
        <v>4690</v>
      </c>
      <c r="D49" s="108">
        <f t="shared" si="9"/>
        <v>4690</v>
      </c>
      <c r="E49" s="260">
        <v>4549.3</v>
      </c>
      <c r="F49" s="109">
        <v>140.69999999999999</v>
      </c>
      <c r="G49" s="212">
        <v>0</v>
      </c>
      <c r="H49" s="108">
        <v>4690</v>
      </c>
      <c r="I49" s="111">
        <v>4549.3</v>
      </c>
      <c r="J49" s="111">
        <v>140.69999999999999</v>
      </c>
      <c r="K49" s="111">
        <v>0</v>
      </c>
      <c r="L49" s="108">
        <f t="shared" si="8"/>
        <v>4690</v>
      </c>
      <c r="M49" s="108">
        <f t="shared" si="8"/>
        <v>4549.3</v>
      </c>
      <c r="N49" s="108">
        <f t="shared" si="8"/>
        <v>140.69999999999999</v>
      </c>
      <c r="O49" s="110">
        <v>0</v>
      </c>
      <c r="P49" s="100">
        <f t="shared" si="6"/>
        <v>1</v>
      </c>
      <c r="Q49" s="129">
        <f t="shared" si="7"/>
        <v>1</v>
      </c>
      <c r="R49" s="56"/>
    </row>
    <row r="50" spans="1:18" s="57" customFormat="1" ht="36" customHeight="1">
      <c r="A50" s="62"/>
      <c r="B50" s="190" t="s">
        <v>471</v>
      </c>
      <c r="C50" s="107">
        <v>12117.27</v>
      </c>
      <c r="D50" s="108">
        <f t="shared" si="9"/>
        <v>12117.3</v>
      </c>
      <c r="E50" s="260">
        <v>11753.75</v>
      </c>
      <c r="F50" s="109">
        <v>363.52</v>
      </c>
      <c r="G50" s="212">
        <v>0</v>
      </c>
      <c r="H50" s="108">
        <v>12117.3</v>
      </c>
      <c r="I50" s="111">
        <v>11753.7</v>
      </c>
      <c r="J50" s="111">
        <v>363.5</v>
      </c>
      <c r="K50" s="111">
        <v>0</v>
      </c>
      <c r="L50" s="108">
        <f t="shared" si="8"/>
        <v>12117.3</v>
      </c>
      <c r="M50" s="108">
        <f t="shared" si="8"/>
        <v>11753.7</v>
      </c>
      <c r="N50" s="108">
        <f t="shared" si="8"/>
        <v>363.5</v>
      </c>
      <c r="O50" s="110">
        <v>0</v>
      </c>
      <c r="P50" s="100">
        <f t="shared" si="6"/>
        <v>1</v>
      </c>
      <c r="Q50" s="129">
        <f t="shared" si="7"/>
        <v>1</v>
      </c>
      <c r="R50" s="56"/>
    </row>
    <row r="51" spans="1:18" s="57" customFormat="1" ht="16.5" customHeight="1">
      <c r="A51" s="62"/>
      <c r="B51" s="190" t="s">
        <v>472</v>
      </c>
      <c r="C51" s="107">
        <v>12166.56</v>
      </c>
      <c r="D51" s="108">
        <f t="shared" si="9"/>
        <v>12166.6</v>
      </c>
      <c r="E51" s="260">
        <v>11801.56</v>
      </c>
      <c r="F51" s="109">
        <v>365</v>
      </c>
      <c r="G51" s="212">
        <v>0</v>
      </c>
      <c r="H51" s="108">
        <v>0</v>
      </c>
      <c r="I51" s="111">
        <v>0</v>
      </c>
      <c r="J51" s="111">
        <v>0</v>
      </c>
      <c r="K51" s="111">
        <v>0</v>
      </c>
      <c r="L51" s="108">
        <f t="shared" si="8"/>
        <v>0</v>
      </c>
      <c r="M51" s="108">
        <f t="shared" si="8"/>
        <v>0</v>
      </c>
      <c r="N51" s="108">
        <f t="shared" si="8"/>
        <v>0</v>
      </c>
      <c r="O51" s="110">
        <v>0</v>
      </c>
      <c r="P51" s="100">
        <f t="shared" si="6"/>
        <v>0</v>
      </c>
      <c r="Q51" s="129">
        <f t="shared" si="7"/>
        <v>0</v>
      </c>
      <c r="R51" s="56"/>
    </row>
    <row r="52" spans="1:18" s="57" customFormat="1" ht="20.25" customHeight="1">
      <c r="A52" s="62"/>
      <c r="B52" s="190" t="s">
        <v>473</v>
      </c>
      <c r="C52" s="107">
        <v>3081.7</v>
      </c>
      <c r="D52" s="108">
        <f t="shared" si="9"/>
        <v>3081.7</v>
      </c>
      <c r="E52" s="260">
        <v>2989.22</v>
      </c>
      <c r="F52" s="109">
        <v>92.45</v>
      </c>
      <c r="G52" s="212">
        <v>0</v>
      </c>
      <c r="H52" s="108">
        <v>3081.7</v>
      </c>
      <c r="I52" s="111">
        <v>2989.2</v>
      </c>
      <c r="J52" s="111">
        <v>92.45</v>
      </c>
      <c r="K52" s="111">
        <v>0</v>
      </c>
      <c r="L52" s="108">
        <f t="shared" si="8"/>
        <v>3081.7</v>
      </c>
      <c r="M52" s="108">
        <f t="shared" si="8"/>
        <v>2989.2</v>
      </c>
      <c r="N52" s="108">
        <f t="shared" si="8"/>
        <v>92.5</v>
      </c>
      <c r="O52" s="110">
        <v>0</v>
      </c>
      <c r="P52" s="100">
        <f t="shared" si="6"/>
        <v>1</v>
      </c>
      <c r="Q52" s="129">
        <f t="shared" si="7"/>
        <v>1</v>
      </c>
      <c r="R52" s="56"/>
    </row>
    <row r="53" spans="1:18" s="57" customFormat="1" ht="19.5" customHeight="1">
      <c r="A53" s="62"/>
      <c r="B53" s="190" t="s">
        <v>474</v>
      </c>
      <c r="C53" s="107">
        <v>6022.34</v>
      </c>
      <c r="D53" s="108">
        <f t="shared" si="9"/>
        <v>6022.3</v>
      </c>
      <c r="E53" s="260">
        <v>5841.67</v>
      </c>
      <c r="F53" s="109">
        <v>180.67</v>
      </c>
      <c r="G53" s="212">
        <v>0</v>
      </c>
      <c r="H53" s="108">
        <v>5751.3</v>
      </c>
      <c r="I53" s="111">
        <v>5578.8</v>
      </c>
      <c r="J53" s="111">
        <v>172.5</v>
      </c>
      <c r="K53" s="111">
        <v>0</v>
      </c>
      <c r="L53" s="108">
        <f t="shared" si="8"/>
        <v>5751.3</v>
      </c>
      <c r="M53" s="108">
        <f t="shared" si="8"/>
        <v>5578.8</v>
      </c>
      <c r="N53" s="108">
        <f t="shared" si="8"/>
        <v>172.5</v>
      </c>
      <c r="O53" s="110">
        <v>0</v>
      </c>
      <c r="P53" s="100">
        <f t="shared" si="6"/>
        <v>0.95499999999999996</v>
      </c>
      <c r="Q53" s="129">
        <f t="shared" si="7"/>
        <v>0.95499999999999996</v>
      </c>
      <c r="R53" s="56"/>
    </row>
    <row r="54" spans="1:18" s="57" customFormat="1" ht="31.5" customHeight="1">
      <c r="A54" s="62"/>
      <c r="B54" s="190" t="s">
        <v>475</v>
      </c>
      <c r="C54" s="107">
        <v>6210</v>
      </c>
      <c r="D54" s="108">
        <f t="shared" si="9"/>
        <v>6210</v>
      </c>
      <c r="E54" s="260">
        <v>6023.7</v>
      </c>
      <c r="F54" s="109">
        <v>186.3</v>
      </c>
      <c r="G54" s="212">
        <v>0</v>
      </c>
      <c r="H54" s="108">
        <v>6210</v>
      </c>
      <c r="I54" s="111">
        <v>6023.7</v>
      </c>
      <c r="J54" s="111">
        <v>186.3</v>
      </c>
      <c r="K54" s="111">
        <v>0</v>
      </c>
      <c r="L54" s="108">
        <f t="shared" si="8"/>
        <v>6210</v>
      </c>
      <c r="M54" s="108">
        <f t="shared" si="8"/>
        <v>6023.7</v>
      </c>
      <c r="N54" s="108">
        <f t="shared" si="8"/>
        <v>186.3</v>
      </c>
      <c r="O54" s="110">
        <v>0</v>
      </c>
      <c r="P54" s="100">
        <f t="shared" si="6"/>
        <v>1</v>
      </c>
      <c r="Q54" s="129">
        <f t="shared" si="7"/>
        <v>1</v>
      </c>
      <c r="R54" s="56"/>
    </row>
    <row r="55" spans="1:18" s="57" customFormat="1" ht="21.75" customHeight="1">
      <c r="A55" s="62"/>
      <c r="B55" s="190" t="s">
        <v>476</v>
      </c>
      <c r="C55" s="107">
        <v>545.9</v>
      </c>
      <c r="D55" s="108">
        <f t="shared" si="9"/>
        <v>545.9</v>
      </c>
      <c r="E55" s="260">
        <v>529.54</v>
      </c>
      <c r="F55" s="109">
        <v>16.38</v>
      </c>
      <c r="G55" s="212">
        <v>0</v>
      </c>
      <c r="H55" s="108">
        <v>545.9</v>
      </c>
      <c r="I55" s="111">
        <v>529.5</v>
      </c>
      <c r="J55" s="111">
        <v>16.399999999999999</v>
      </c>
      <c r="K55" s="111">
        <v>0</v>
      </c>
      <c r="L55" s="108">
        <f t="shared" si="8"/>
        <v>545.9</v>
      </c>
      <c r="M55" s="108">
        <f t="shared" si="8"/>
        <v>529.5</v>
      </c>
      <c r="N55" s="108">
        <f t="shared" si="8"/>
        <v>16.399999999999999</v>
      </c>
      <c r="O55" s="110">
        <v>0</v>
      </c>
      <c r="P55" s="100">
        <f t="shared" si="6"/>
        <v>1</v>
      </c>
      <c r="Q55" s="129">
        <f t="shared" si="7"/>
        <v>1</v>
      </c>
      <c r="R55" s="56"/>
    </row>
    <row r="56" spans="1:18" s="57" customFormat="1" ht="24.75" customHeight="1">
      <c r="A56" s="62"/>
      <c r="B56" s="190" t="s">
        <v>477</v>
      </c>
      <c r="C56" s="107">
        <v>376</v>
      </c>
      <c r="D56" s="108">
        <f t="shared" si="9"/>
        <v>376.1</v>
      </c>
      <c r="E56" s="260">
        <v>364.8</v>
      </c>
      <c r="F56" s="109">
        <v>11.3</v>
      </c>
      <c r="G56" s="212">
        <v>0</v>
      </c>
      <c r="H56" s="108">
        <v>376</v>
      </c>
      <c r="I56" s="111">
        <v>364.8</v>
      </c>
      <c r="J56" s="111">
        <v>11.3</v>
      </c>
      <c r="K56" s="111">
        <v>0</v>
      </c>
      <c r="L56" s="108">
        <f t="shared" si="8"/>
        <v>376</v>
      </c>
      <c r="M56" s="108">
        <f t="shared" si="8"/>
        <v>364.8</v>
      </c>
      <c r="N56" s="108">
        <f t="shared" si="8"/>
        <v>11.3</v>
      </c>
      <c r="O56" s="110">
        <v>0</v>
      </c>
      <c r="P56" s="100">
        <f t="shared" si="6"/>
        <v>1</v>
      </c>
      <c r="Q56" s="129">
        <f t="shared" si="7"/>
        <v>1</v>
      </c>
      <c r="R56" s="56"/>
    </row>
    <row r="57" spans="1:18" s="57" customFormat="1" ht="22.5" customHeight="1">
      <c r="A57" s="62"/>
      <c r="B57" s="190" t="s">
        <v>478</v>
      </c>
      <c r="C57" s="107">
        <v>4961.67</v>
      </c>
      <c r="D57" s="108">
        <f t="shared" si="9"/>
        <v>4961.7</v>
      </c>
      <c r="E57" s="260">
        <v>4812.82</v>
      </c>
      <c r="F57" s="109">
        <v>148.85</v>
      </c>
      <c r="G57" s="212">
        <v>0</v>
      </c>
      <c r="H57" s="108">
        <v>0</v>
      </c>
      <c r="I57" s="111">
        <v>0</v>
      </c>
      <c r="J57" s="111">
        <v>0</v>
      </c>
      <c r="K57" s="111">
        <v>0</v>
      </c>
      <c r="L57" s="108">
        <f t="shared" si="8"/>
        <v>0</v>
      </c>
      <c r="M57" s="108">
        <f t="shared" si="8"/>
        <v>0</v>
      </c>
      <c r="N57" s="108">
        <f t="shared" si="8"/>
        <v>0</v>
      </c>
      <c r="O57" s="110">
        <v>0</v>
      </c>
      <c r="P57" s="100">
        <f t="shared" si="6"/>
        <v>0</v>
      </c>
      <c r="Q57" s="129">
        <f t="shared" si="7"/>
        <v>0</v>
      </c>
      <c r="R57" s="56"/>
    </row>
    <row r="58" spans="1:18" s="57" customFormat="1" ht="36" customHeight="1">
      <c r="A58" s="62"/>
      <c r="B58" s="261" t="s">
        <v>541</v>
      </c>
      <c r="C58" s="107">
        <v>6128.7</v>
      </c>
      <c r="D58" s="108">
        <f t="shared" si="9"/>
        <v>6128.7</v>
      </c>
      <c r="E58" s="260">
        <v>5944.8</v>
      </c>
      <c r="F58" s="109">
        <v>183.9</v>
      </c>
      <c r="G58" s="212">
        <v>0</v>
      </c>
      <c r="H58" s="108">
        <v>4863.5</v>
      </c>
      <c r="I58" s="111">
        <v>4717.6000000000004</v>
      </c>
      <c r="J58" s="111">
        <v>145.9</v>
      </c>
      <c r="K58" s="111">
        <v>0</v>
      </c>
      <c r="L58" s="108">
        <f t="shared" si="8"/>
        <v>4863.5</v>
      </c>
      <c r="M58" s="108">
        <f t="shared" si="8"/>
        <v>4717.6000000000004</v>
      </c>
      <c r="N58" s="108">
        <f t="shared" si="8"/>
        <v>145.9</v>
      </c>
      <c r="O58" s="110">
        <v>0</v>
      </c>
      <c r="P58" s="100">
        <f t="shared" si="6"/>
        <v>0.79400000000000004</v>
      </c>
      <c r="Q58" s="129">
        <f t="shared" si="7"/>
        <v>0.79400000000000004</v>
      </c>
      <c r="R58" s="56"/>
    </row>
    <row r="59" spans="1:18" s="57" customFormat="1" ht="49.5" customHeight="1">
      <c r="A59" s="62"/>
      <c r="B59" s="190" t="s">
        <v>542</v>
      </c>
      <c r="C59" s="107">
        <v>298.8</v>
      </c>
      <c r="D59" s="108">
        <f t="shared" si="9"/>
        <v>298.8</v>
      </c>
      <c r="E59" s="260">
        <v>289.8</v>
      </c>
      <c r="F59" s="109">
        <v>9</v>
      </c>
      <c r="G59" s="212">
        <v>0</v>
      </c>
      <c r="H59" s="108">
        <v>298.8</v>
      </c>
      <c r="I59" s="111">
        <v>289.8</v>
      </c>
      <c r="J59" s="111">
        <v>9</v>
      </c>
      <c r="K59" s="111">
        <v>0</v>
      </c>
      <c r="L59" s="108">
        <f t="shared" si="8"/>
        <v>298.8</v>
      </c>
      <c r="M59" s="108">
        <f t="shared" si="8"/>
        <v>289.8</v>
      </c>
      <c r="N59" s="108">
        <f t="shared" si="8"/>
        <v>9</v>
      </c>
      <c r="O59" s="110">
        <v>0</v>
      </c>
      <c r="P59" s="100">
        <f t="shared" si="6"/>
        <v>1</v>
      </c>
      <c r="Q59" s="129">
        <f t="shared" si="7"/>
        <v>1</v>
      </c>
      <c r="R59" s="56"/>
    </row>
    <row r="60" spans="1:18" s="57" customFormat="1" ht="53.25" customHeight="1">
      <c r="A60" s="62"/>
      <c r="B60" s="190" t="s">
        <v>543</v>
      </c>
      <c r="C60" s="107">
        <v>299.2</v>
      </c>
      <c r="D60" s="108">
        <f t="shared" si="9"/>
        <v>299.2</v>
      </c>
      <c r="E60" s="260">
        <v>290.2</v>
      </c>
      <c r="F60" s="109">
        <v>9</v>
      </c>
      <c r="G60" s="212">
        <v>0</v>
      </c>
      <c r="H60" s="108">
        <v>299.2</v>
      </c>
      <c r="I60" s="111">
        <v>290.2</v>
      </c>
      <c r="J60" s="111">
        <v>9</v>
      </c>
      <c r="K60" s="111">
        <v>0</v>
      </c>
      <c r="L60" s="108">
        <f t="shared" si="8"/>
        <v>299.2</v>
      </c>
      <c r="M60" s="108">
        <f t="shared" si="8"/>
        <v>290.2</v>
      </c>
      <c r="N60" s="108">
        <f t="shared" si="8"/>
        <v>9</v>
      </c>
      <c r="O60" s="110">
        <v>0</v>
      </c>
      <c r="P60" s="100">
        <f t="shared" si="6"/>
        <v>1</v>
      </c>
      <c r="Q60" s="129">
        <f t="shared" si="7"/>
        <v>1</v>
      </c>
      <c r="R60" s="56"/>
    </row>
    <row r="61" spans="1:18" s="57" customFormat="1" ht="48.75" customHeight="1">
      <c r="A61" s="62"/>
      <c r="B61" s="190" t="s">
        <v>544</v>
      </c>
      <c r="C61" s="107">
        <v>158.6</v>
      </c>
      <c r="D61" s="108">
        <f t="shared" si="9"/>
        <v>158.69999999999999</v>
      </c>
      <c r="E61" s="260">
        <v>153.9</v>
      </c>
      <c r="F61" s="109">
        <v>4.8</v>
      </c>
      <c r="G61" s="212">
        <v>0</v>
      </c>
      <c r="H61" s="108">
        <v>0</v>
      </c>
      <c r="I61" s="111">
        <v>0</v>
      </c>
      <c r="J61" s="111">
        <v>0</v>
      </c>
      <c r="K61" s="111">
        <v>0</v>
      </c>
      <c r="L61" s="108">
        <f t="shared" si="8"/>
        <v>0</v>
      </c>
      <c r="M61" s="108">
        <f t="shared" si="8"/>
        <v>0</v>
      </c>
      <c r="N61" s="108">
        <f t="shared" si="8"/>
        <v>0</v>
      </c>
      <c r="O61" s="110">
        <v>0</v>
      </c>
      <c r="P61" s="100">
        <f t="shared" si="6"/>
        <v>0</v>
      </c>
      <c r="Q61" s="129">
        <f t="shared" si="7"/>
        <v>0</v>
      </c>
      <c r="R61" s="56"/>
    </row>
    <row r="62" spans="1:18" s="57" customFormat="1" ht="78" customHeight="1">
      <c r="A62" s="62"/>
      <c r="B62" s="190" t="s">
        <v>545</v>
      </c>
      <c r="C62" s="107">
        <v>158.1</v>
      </c>
      <c r="D62" s="108">
        <f t="shared" si="9"/>
        <v>158</v>
      </c>
      <c r="E62" s="260">
        <v>153.30000000000001</v>
      </c>
      <c r="F62" s="109">
        <v>4.7</v>
      </c>
      <c r="G62" s="212">
        <v>0</v>
      </c>
      <c r="H62" s="108">
        <v>158.1</v>
      </c>
      <c r="I62" s="111">
        <v>153.30000000000001</v>
      </c>
      <c r="J62" s="111">
        <v>4.7</v>
      </c>
      <c r="K62" s="111">
        <v>0</v>
      </c>
      <c r="L62" s="108">
        <f t="shared" si="8"/>
        <v>158.1</v>
      </c>
      <c r="M62" s="108">
        <f>I62</f>
        <v>153.30000000000001</v>
      </c>
      <c r="N62" s="108">
        <f>J62</f>
        <v>4.7</v>
      </c>
      <c r="O62" s="110">
        <v>0</v>
      </c>
      <c r="P62" s="100">
        <f t="shared" si="6"/>
        <v>1.0009999999999999</v>
      </c>
      <c r="Q62" s="129">
        <f t="shared" si="7"/>
        <v>1.0009999999999999</v>
      </c>
      <c r="R62" s="56"/>
    </row>
    <row r="63" spans="1:18" s="57" customFormat="1" ht="48.75" customHeight="1">
      <c r="A63" s="62"/>
      <c r="B63" s="190" t="s">
        <v>546</v>
      </c>
      <c r="C63" s="107">
        <v>99.6</v>
      </c>
      <c r="D63" s="108">
        <f t="shared" si="9"/>
        <v>99.6</v>
      </c>
      <c r="E63" s="260">
        <v>96.6</v>
      </c>
      <c r="F63" s="109">
        <v>3</v>
      </c>
      <c r="G63" s="212">
        <v>0</v>
      </c>
      <c r="H63" s="108">
        <v>0</v>
      </c>
      <c r="I63" s="111">
        <v>0</v>
      </c>
      <c r="J63" s="111">
        <v>0</v>
      </c>
      <c r="K63" s="111">
        <v>0</v>
      </c>
      <c r="L63" s="108">
        <f t="shared" si="8"/>
        <v>0</v>
      </c>
      <c r="M63" s="108">
        <f>I63</f>
        <v>0</v>
      </c>
      <c r="N63" s="108">
        <f>J63</f>
        <v>0</v>
      </c>
      <c r="O63" s="110">
        <v>0</v>
      </c>
      <c r="P63" s="100">
        <f t="shared" si="6"/>
        <v>0</v>
      </c>
      <c r="Q63" s="129">
        <f t="shared" si="7"/>
        <v>0</v>
      </c>
      <c r="R63" s="56"/>
    </row>
    <row r="64" spans="1:18" s="78" customFormat="1" ht="105.75" customHeight="1">
      <c r="A64" s="74" t="s">
        <v>547</v>
      </c>
      <c r="B64" s="208" t="s">
        <v>548</v>
      </c>
      <c r="C64" s="102">
        <v>10598.7</v>
      </c>
      <c r="D64" s="103">
        <f>F64</f>
        <v>10598.7</v>
      </c>
      <c r="E64" s="262">
        <v>0</v>
      </c>
      <c r="F64" s="104">
        <f>C64</f>
        <v>10598.7</v>
      </c>
      <c r="G64" s="259">
        <v>0</v>
      </c>
      <c r="H64" s="103">
        <f>H65</f>
        <v>10598.6</v>
      </c>
      <c r="I64" s="106">
        <v>0</v>
      </c>
      <c r="J64" s="106">
        <f>J65</f>
        <v>10598.6</v>
      </c>
      <c r="K64" s="106">
        <v>0</v>
      </c>
      <c r="L64" s="103">
        <f>L65</f>
        <v>10598.6</v>
      </c>
      <c r="M64" s="103">
        <v>0</v>
      </c>
      <c r="N64" s="103">
        <f>N65</f>
        <v>10598.6</v>
      </c>
      <c r="O64" s="105">
        <v>0</v>
      </c>
      <c r="P64" s="192">
        <f t="shared" si="6"/>
        <v>1</v>
      </c>
      <c r="Q64" s="126">
        <f t="shared" si="7"/>
        <v>1</v>
      </c>
      <c r="R64" s="77"/>
    </row>
    <row r="65" spans="1:18" s="57" customFormat="1" ht="83.45" customHeight="1">
      <c r="A65" s="62" t="s">
        <v>549</v>
      </c>
      <c r="B65" s="190" t="s">
        <v>550</v>
      </c>
      <c r="C65" s="107">
        <v>10598.7</v>
      </c>
      <c r="D65" s="108">
        <f>F65</f>
        <v>10598.7</v>
      </c>
      <c r="E65" s="260">
        <v>0</v>
      </c>
      <c r="F65" s="109">
        <f>C65</f>
        <v>10598.7</v>
      </c>
      <c r="G65" s="212">
        <v>0</v>
      </c>
      <c r="H65" s="108">
        <f>H66</f>
        <v>10598.6</v>
      </c>
      <c r="I65" s="111">
        <v>0</v>
      </c>
      <c r="J65" s="111">
        <f>J66</f>
        <v>10598.6</v>
      </c>
      <c r="K65" s="111">
        <v>0</v>
      </c>
      <c r="L65" s="108">
        <f>L66</f>
        <v>10598.6</v>
      </c>
      <c r="M65" s="108">
        <v>0</v>
      </c>
      <c r="N65" s="108">
        <f>N66</f>
        <v>10598.6</v>
      </c>
      <c r="O65" s="110">
        <v>0</v>
      </c>
      <c r="P65" s="194">
        <f t="shared" si="6"/>
        <v>1</v>
      </c>
      <c r="Q65" s="129">
        <f t="shared" si="7"/>
        <v>1</v>
      </c>
      <c r="R65" s="56"/>
    </row>
    <row r="66" spans="1:18" s="57" customFormat="1" ht="115.15" customHeight="1">
      <c r="A66" s="62"/>
      <c r="B66" s="190" t="s">
        <v>551</v>
      </c>
      <c r="C66" s="107">
        <v>10598.7</v>
      </c>
      <c r="D66" s="108">
        <f>F66</f>
        <v>10598.7</v>
      </c>
      <c r="E66" s="260">
        <v>0</v>
      </c>
      <c r="F66" s="109">
        <f>C66</f>
        <v>10598.7</v>
      </c>
      <c r="G66" s="212">
        <v>0</v>
      </c>
      <c r="H66" s="108">
        <f>J66</f>
        <v>10598.6</v>
      </c>
      <c r="I66" s="111">
        <v>0</v>
      </c>
      <c r="J66" s="111">
        <v>10598.6</v>
      </c>
      <c r="K66" s="111">
        <v>0</v>
      </c>
      <c r="L66" s="108">
        <f>N66</f>
        <v>10598.6</v>
      </c>
      <c r="M66" s="108">
        <v>0</v>
      </c>
      <c r="N66" s="108">
        <f>J66</f>
        <v>10598.6</v>
      </c>
      <c r="O66" s="110">
        <v>0</v>
      </c>
      <c r="P66" s="194">
        <f t="shared" si="6"/>
        <v>1</v>
      </c>
      <c r="Q66" s="129">
        <f t="shared" si="7"/>
        <v>1</v>
      </c>
      <c r="R66" s="56"/>
    </row>
    <row r="67" spans="1:18" s="57" customFormat="1" ht="33.75" customHeight="1">
      <c r="A67" s="114"/>
      <c r="B67" s="115" t="s">
        <v>161</v>
      </c>
      <c r="C67" s="116">
        <f>C31+C28+C23+C44+C64</f>
        <v>129739.6</v>
      </c>
      <c r="D67" s="116">
        <f t="shared" ref="D67:O67" si="10">D31+D28+D23+D44+D64</f>
        <v>129739.8</v>
      </c>
      <c r="E67" s="116">
        <f t="shared" si="10"/>
        <v>67876.899999999994</v>
      </c>
      <c r="F67" s="116">
        <f t="shared" si="10"/>
        <v>61862.9</v>
      </c>
      <c r="G67" s="116">
        <f t="shared" si="10"/>
        <v>0</v>
      </c>
      <c r="H67" s="116">
        <f t="shared" si="10"/>
        <v>103878.2</v>
      </c>
      <c r="I67" s="116">
        <f t="shared" si="10"/>
        <v>47233.8</v>
      </c>
      <c r="J67" s="116">
        <f t="shared" si="10"/>
        <v>56644.4</v>
      </c>
      <c r="K67" s="116">
        <f t="shared" si="10"/>
        <v>0</v>
      </c>
      <c r="L67" s="116">
        <f t="shared" si="10"/>
        <v>103878.2</v>
      </c>
      <c r="M67" s="116">
        <f t="shared" si="10"/>
        <v>47233.8</v>
      </c>
      <c r="N67" s="116">
        <f t="shared" si="10"/>
        <v>56644.4</v>
      </c>
      <c r="O67" s="116">
        <f t="shared" si="10"/>
        <v>0</v>
      </c>
      <c r="P67" s="117">
        <f>H67/D67</f>
        <v>0.80100000000000005</v>
      </c>
      <c r="Q67" s="117">
        <f>L67/D67</f>
        <v>0.80100000000000005</v>
      </c>
      <c r="R67" s="56"/>
    </row>
    <row r="68" spans="1:18" s="57" customFormat="1" ht="27.75" customHeight="1">
      <c r="A68" s="62"/>
      <c r="B68" s="289" t="s">
        <v>50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1"/>
      <c r="R68" s="56"/>
    </row>
    <row r="69" spans="1:18" s="57" customFormat="1" ht="84.75" customHeight="1">
      <c r="A69" s="118" t="s">
        <v>24</v>
      </c>
      <c r="B69" s="119" t="s">
        <v>181</v>
      </c>
      <c r="C69" s="120">
        <f>C70</f>
        <v>833.5</v>
      </c>
      <c r="D69" s="120">
        <f t="shared" ref="D69:O69" si="11">D70</f>
        <v>833.5</v>
      </c>
      <c r="E69" s="120">
        <f t="shared" si="11"/>
        <v>0</v>
      </c>
      <c r="F69" s="120">
        <f t="shared" si="11"/>
        <v>833.5</v>
      </c>
      <c r="G69" s="120">
        <f t="shared" si="11"/>
        <v>0</v>
      </c>
      <c r="H69" s="120">
        <f t="shared" si="11"/>
        <v>823.4</v>
      </c>
      <c r="I69" s="120">
        <f t="shared" si="11"/>
        <v>0</v>
      </c>
      <c r="J69" s="120">
        <f t="shared" si="11"/>
        <v>823.4</v>
      </c>
      <c r="K69" s="120">
        <f t="shared" si="11"/>
        <v>0</v>
      </c>
      <c r="L69" s="120">
        <f t="shared" si="11"/>
        <v>823.4</v>
      </c>
      <c r="M69" s="120">
        <f t="shared" si="11"/>
        <v>0</v>
      </c>
      <c r="N69" s="120">
        <f t="shared" si="11"/>
        <v>823.4</v>
      </c>
      <c r="O69" s="120">
        <f t="shared" si="11"/>
        <v>0</v>
      </c>
      <c r="P69" s="97">
        <f t="shared" ref="P69:P91" si="12">H69/D69</f>
        <v>0.98799999999999999</v>
      </c>
      <c r="Q69" s="98">
        <f t="shared" ref="Q69:Q87" si="13">L69/D69</f>
        <v>0.98799999999999999</v>
      </c>
      <c r="R69" s="56"/>
    </row>
    <row r="70" spans="1:18" s="57" customFormat="1" ht="43.9" customHeight="1">
      <c r="A70" s="62" t="s">
        <v>26</v>
      </c>
      <c r="B70" s="63" t="s">
        <v>182</v>
      </c>
      <c r="C70" s="107">
        <f t="shared" ref="C70:O70" si="14">C71+C72+C73</f>
        <v>833.5</v>
      </c>
      <c r="D70" s="107">
        <f t="shared" si="14"/>
        <v>833.5</v>
      </c>
      <c r="E70" s="107">
        <f t="shared" si="14"/>
        <v>0</v>
      </c>
      <c r="F70" s="107">
        <f t="shared" si="14"/>
        <v>833.5</v>
      </c>
      <c r="G70" s="107">
        <f t="shared" si="14"/>
        <v>0</v>
      </c>
      <c r="H70" s="107">
        <f t="shared" si="14"/>
        <v>823.4</v>
      </c>
      <c r="I70" s="107">
        <f t="shared" si="14"/>
        <v>0</v>
      </c>
      <c r="J70" s="107">
        <f t="shared" si="14"/>
        <v>823.4</v>
      </c>
      <c r="K70" s="107">
        <f t="shared" si="14"/>
        <v>0</v>
      </c>
      <c r="L70" s="107">
        <f t="shared" si="14"/>
        <v>823.4</v>
      </c>
      <c r="M70" s="107">
        <f t="shared" si="14"/>
        <v>0</v>
      </c>
      <c r="N70" s="107">
        <f t="shared" si="14"/>
        <v>823.4</v>
      </c>
      <c r="O70" s="107">
        <f t="shared" si="14"/>
        <v>0</v>
      </c>
      <c r="P70" s="100">
        <f t="shared" si="12"/>
        <v>0.98799999999999999</v>
      </c>
      <c r="Q70" s="101">
        <f t="shared" si="13"/>
        <v>0.98799999999999999</v>
      </c>
      <c r="R70" s="56"/>
    </row>
    <row r="71" spans="1:18" s="57" customFormat="1" ht="114" customHeight="1">
      <c r="A71" s="62"/>
      <c r="B71" s="112" t="s">
        <v>183</v>
      </c>
      <c r="C71" s="107">
        <v>50</v>
      </c>
      <c r="D71" s="108">
        <f>F71</f>
        <v>50</v>
      </c>
      <c r="E71" s="108">
        <v>0</v>
      </c>
      <c r="F71" s="109">
        <f>C71</f>
        <v>50</v>
      </c>
      <c r="G71" s="110">
        <v>0</v>
      </c>
      <c r="H71" s="108">
        <f>J71</f>
        <v>49.9</v>
      </c>
      <c r="I71" s="111">
        <v>0</v>
      </c>
      <c r="J71" s="111">
        <v>49.9</v>
      </c>
      <c r="K71" s="111">
        <v>0</v>
      </c>
      <c r="L71" s="108">
        <f>N71</f>
        <v>49.9</v>
      </c>
      <c r="M71" s="111">
        <v>0</v>
      </c>
      <c r="N71" s="111">
        <f>J71</f>
        <v>49.9</v>
      </c>
      <c r="O71" s="110">
        <v>0</v>
      </c>
      <c r="P71" s="100">
        <f t="shared" si="12"/>
        <v>0.998</v>
      </c>
      <c r="Q71" s="129">
        <f t="shared" si="13"/>
        <v>0.998</v>
      </c>
      <c r="R71" s="56"/>
    </row>
    <row r="72" spans="1:18" s="57" customFormat="1" ht="78.599999999999994" customHeight="1">
      <c r="A72" s="62"/>
      <c r="B72" s="112" t="s">
        <v>184</v>
      </c>
      <c r="C72" s="107">
        <v>770</v>
      </c>
      <c r="D72" s="108">
        <f>F72</f>
        <v>770</v>
      </c>
      <c r="E72" s="108">
        <v>0</v>
      </c>
      <c r="F72" s="109">
        <f>C72</f>
        <v>770</v>
      </c>
      <c r="G72" s="110">
        <v>0</v>
      </c>
      <c r="H72" s="108">
        <f>J72</f>
        <v>760</v>
      </c>
      <c r="I72" s="111">
        <v>0</v>
      </c>
      <c r="J72" s="111">
        <v>760</v>
      </c>
      <c r="K72" s="111">
        <v>0</v>
      </c>
      <c r="L72" s="108">
        <f>N72</f>
        <v>760</v>
      </c>
      <c r="M72" s="111">
        <v>0</v>
      </c>
      <c r="N72" s="111">
        <f>J72</f>
        <v>760</v>
      </c>
      <c r="O72" s="110">
        <v>0</v>
      </c>
      <c r="P72" s="100">
        <f t="shared" si="12"/>
        <v>0.98699999999999999</v>
      </c>
      <c r="Q72" s="129">
        <f t="shared" si="13"/>
        <v>0.98699999999999999</v>
      </c>
      <c r="R72" s="56"/>
    </row>
    <row r="73" spans="1:18" s="57" customFormat="1" ht="86.45" customHeight="1">
      <c r="A73" s="62"/>
      <c r="B73" s="190" t="s">
        <v>412</v>
      </c>
      <c r="C73" s="107">
        <v>13.5</v>
      </c>
      <c r="D73" s="108">
        <f>F73</f>
        <v>13.5</v>
      </c>
      <c r="E73" s="108">
        <v>0</v>
      </c>
      <c r="F73" s="109">
        <v>13.5</v>
      </c>
      <c r="G73" s="110">
        <v>0</v>
      </c>
      <c r="H73" s="108">
        <f>J73</f>
        <v>13.5</v>
      </c>
      <c r="I73" s="111">
        <v>0</v>
      </c>
      <c r="J73" s="111">
        <v>13.5</v>
      </c>
      <c r="K73" s="111">
        <v>0</v>
      </c>
      <c r="L73" s="108">
        <f>N73</f>
        <v>13.5</v>
      </c>
      <c r="M73" s="111">
        <v>0</v>
      </c>
      <c r="N73" s="111">
        <v>13.5</v>
      </c>
      <c r="O73" s="110">
        <v>0</v>
      </c>
      <c r="P73" s="100">
        <f t="shared" si="12"/>
        <v>1</v>
      </c>
      <c r="Q73" s="129">
        <f t="shared" si="13"/>
        <v>1</v>
      </c>
      <c r="R73" s="56"/>
    </row>
    <row r="74" spans="1:18" s="57" customFormat="1" ht="55.9" customHeight="1">
      <c r="A74" s="74" t="s">
        <v>185</v>
      </c>
      <c r="B74" s="113" t="s">
        <v>186</v>
      </c>
      <c r="C74" s="102">
        <f>C75+C78+C87</f>
        <v>14130.6</v>
      </c>
      <c r="D74" s="102">
        <f t="shared" ref="D74:O74" si="15">D75+D78+D87</f>
        <v>14130.6</v>
      </c>
      <c r="E74" s="102">
        <f t="shared" si="15"/>
        <v>0</v>
      </c>
      <c r="F74" s="102">
        <f t="shared" si="15"/>
        <v>14130.6</v>
      </c>
      <c r="G74" s="191">
        <f t="shared" si="15"/>
        <v>0</v>
      </c>
      <c r="H74" s="102">
        <f t="shared" si="15"/>
        <v>13885.8</v>
      </c>
      <c r="I74" s="102">
        <f t="shared" si="15"/>
        <v>0</v>
      </c>
      <c r="J74" s="102">
        <f t="shared" si="15"/>
        <v>13885.8</v>
      </c>
      <c r="K74" s="102">
        <f t="shared" si="15"/>
        <v>0</v>
      </c>
      <c r="L74" s="102">
        <f t="shared" si="15"/>
        <v>13885.8</v>
      </c>
      <c r="M74" s="102">
        <f t="shared" si="15"/>
        <v>0</v>
      </c>
      <c r="N74" s="102">
        <f t="shared" si="15"/>
        <v>13885.8</v>
      </c>
      <c r="O74" s="191">
        <f t="shared" si="15"/>
        <v>0</v>
      </c>
      <c r="P74" s="192">
        <f t="shared" si="12"/>
        <v>0.98299999999999998</v>
      </c>
      <c r="Q74" s="126">
        <f t="shared" si="13"/>
        <v>0.98299999999999998</v>
      </c>
      <c r="R74" s="56"/>
    </row>
    <row r="75" spans="1:18" s="57" customFormat="1" ht="39.6" customHeight="1">
      <c r="A75" s="62" t="s">
        <v>187</v>
      </c>
      <c r="B75" s="112" t="s">
        <v>188</v>
      </c>
      <c r="C75" s="107">
        <f t="shared" ref="C75:O75" si="16">C76+C77</f>
        <v>453.3</v>
      </c>
      <c r="D75" s="108">
        <f t="shared" si="16"/>
        <v>453.3</v>
      </c>
      <c r="E75" s="108">
        <f t="shared" si="16"/>
        <v>0</v>
      </c>
      <c r="F75" s="108">
        <f t="shared" si="16"/>
        <v>453.3</v>
      </c>
      <c r="G75" s="193">
        <f t="shared" si="16"/>
        <v>0</v>
      </c>
      <c r="H75" s="108">
        <f t="shared" si="16"/>
        <v>453.3</v>
      </c>
      <c r="I75" s="108">
        <f t="shared" si="16"/>
        <v>0</v>
      </c>
      <c r="J75" s="108">
        <f t="shared" si="16"/>
        <v>453.3</v>
      </c>
      <c r="K75" s="108">
        <f t="shared" si="16"/>
        <v>0</v>
      </c>
      <c r="L75" s="108">
        <f t="shared" si="16"/>
        <v>453.3</v>
      </c>
      <c r="M75" s="108">
        <f t="shared" si="16"/>
        <v>0</v>
      </c>
      <c r="N75" s="108">
        <f t="shared" si="16"/>
        <v>453.3</v>
      </c>
      <c r="O75" s="193">
        <f t="shared" si="16"/>
        <v>0</v>
      </c>
      <c r="P75" s="194">
        <f t="shared" si="12"/>
        <v>1</v>
      </c>
      <c r="Q75" s="129">
        <f t="shared" si="13"/>
        <v>1</v>
      </c>
      <c r="R75" s="56"/>
    </row>
    <row r="76" spans="1:18" s="57" customFormat="1" ht="67.900000000000006" customHeight="1">
      <c r="A76" s="62"/>
      <c r="B76" s="112" t="s">
        <v>189</v>
      </c>
      <c r="C76" s="107">
        <v>388.3</v>
      </c>
      <c r="D76" s="108">
        <f>F76</f>
        <v>388.3</v>
      </c>
      <c r="E76" s="108">
        <v>0</v>
      </c>
      <c r="F76" s="109">
        <v>388.3</v>
      </c>
      <c r="G76" s="195">
        <v>0</v>
      </c>
      <c r="H76" s="108">
        <f>J76</f>
        <v>388.3</v>
      </c>
      <c r="I76" s="111">
        <v>0</v>
      </c>
      <c r="J76" s="111">
        <v>388.3</v>
      </c>
      <c r="K76" s="111">
        <v>0</v>
      </c>
      <c r="L76" s="108">
        <f>N76</f>
        <v>388.3</v>
      </c>
      <c r="M76" s="111">
        <v>0</v>
      </c>
      <c r="N76" s="111">
        <f>J76</f>
        <v>388.3</v>
      </c>
      <c r="O76" s="195">
        <v>0</v>
      </c>
      <c r="P76" s="194">
        <f t="shared" si="12"/>
        <v>1</v>
      </c>
      <c r="Q76" s="129">
        <f t="shared" si="13"/>
        <v>1</v>
      </c>
      <c r="R76" s="56"/>
    </row>
    <row r="77" spans="1:18" s="57" customFormat="1" ht="72" customHeight="1">
      <c r="A77" s="62"/>
      <c r="B77" s="112" t="s">
        <v>190</v>
      </c>
      <c r="C77" s="107">
        <v>65</v>
      </c>
      <c r="D77" s="108">
        <f>F77</f>
        <v>65</v>
      </c>
      <c r="E77" s="108">
        <v>0</v>
      </c>
      <c r="F77" s="109">
        <v>65</v>
      </c>
      <c r="G77" s="195">
        <v>0</v>
      </c>
      <c r="H77" s="108">
        <f>J77</f>
        <v>65</v>
      </c>
      <c r="I77" s="111">
        <v>0</v>
      </c>
      <c r="J77" s="111">
        <v>65</v>
      </c>
      <c r="K77" s="111">
        <v>0</v>
      </c>
      <c r="L77" s="108">
        <f>N77</f>
        <v>65</v>
      </c>
      <c r="M77" s="111">
        <v>0</v>
      </c>
      <c r="N77" s="111">
        <f>H77</f>
        <v>65</v>
      </c>
      <c r="O77" s="195">
        <v>0</v>
      </c>
      <c r="P77" s="194">
        <f t="shared" si="12"/>
        <v>1</v>
      </c>
      <c r="Q77" s="129">
        <f t="shared" si="13"/>
        <v>1</v>
      </c>
      <c r="R77" s="56"/>
    </row>
    <row r="78" spans="1:18" s="57" customFormat="1" ht="46.9" customHeight="1">
      <c r="A78" s="62" t="s">
        <v>191</v>
      </c>
      <c r="B78" s="112" t="s">
        <v>192</v>
      </c>
      <c r="C78" s="107">
        <f>C79+C80+C81+C82+C83+C84+C85+C86</f>
        <v>4490</v>
      </c>
      <c r="D78" s="107">
        <f>D79+D80+D81+D82+D83+D84+D85+D86</f>
        <v>4490</v>
      </c>
      <c r="E78" s="107">
        <f t="shared" ref="E78:O78" si="17">E79+E80+E81+E82+E83+E84+E85+E86</f>
        <v>0</v>
      </c>
      <c r="F78" s="107">
        <f t="shared" si="17"/>
        <v>4490</v>
      </c>
      <c r="G78" s="107">
        <f t="shared" si="17"/>
        <v>0</v>
      </c>
      <c r="H78" s="107">
        <f t="shared" si="17"/>
        <v>4364.7</v>
      </c>
      <c r="I78" s="107">
        <f t="shared" si="17"/>
        <v>0</v>
      </c>
      <c r="J78" s="107">
        <f t="shared" si="17"/>
        <v>4364.7</v>
      </c>
      <c r="K78" s="107">
        <f t="shared" si="17"/>
        <v>0</v>
      </c>
      <c r="L78" s="107">
        <f t="shared" si="17"/>
        <v>4364.7</v>
      </c>
      <c r="M78" s="107">
        <f t="shared" si="17"/>
        <v>0</v>
      </c>
      <c r="N78" s="107">
        <f t="shared" si="17"/>
        <v>4364.7</v>
      </c>
      <c r="O78" s="107">
        <f t="shared" si="17"/>
        <v>0</v>
      </c>
      <c r="P78" s="127">
        <f t="shared" si="12"/>
        <v>0.97199999999999998</v>
      </c>
      <c r="Q78" s="127">
        <f t="shared" si="13"/>
        <v>0.97199999999999998</v>
      </c>
      <c r="R78" s="56"/>
    </row>
    <row r="79" spans="1:18" s="57" customFormat="1" ht="73.900000000000006" customHeight="1">
      <c r="A79" s="62"/>
      <c r="B79" s="112" t="s">
        <v>193</v>
      </c>
      <c r="C79" s="107">
        <v>221.6</v>
      </c>
      <c r="D79" s="108">
        <f t="shared" ref="D79:D86" si="18">F79</f>
        <v>221.6</v>
      </c>
      <c r="E79" s="108">
        <v>0</v>
      </c>
      <c r="F79" s="109">
        <f>C79</f>
        <v>221.6</v>
      </c>
      <c r="G79" s="110">
        <v>0</v>
      </c>
      <c r="H79" s="108">
        <f>J79</f>
        <v>121.6</v>
      </c>
      <c r="I79" s="111">
        <v>0</v>
      </c>
      <c r="J79" s="111">
        <v>121.6</v>
      </c>
      <c r="K79" s="111">
        <v>0</v>
      </c>
      <c r="L79" s="108">
        <f>N79</f>
        <v>121.6</v>
      </c>
      <c r="M79" s="111">
        <v>0</v>
      </c>
      <c r="N79" s="111">
        <f>J79</f>
        <v>121.6</v>
      </c>
      <c r="O79" s="110">
        <v>0</v>
      </c>
      <c r="P79" s="127">
        <f t="shared" si="12"/>
        <v>0.54900000000000004</v>
      </c>
      <c r="Q79" s="127">
        <f t="shared" si="13"/>
        <v>0.54900000000000004</v>
      </c>
      <c r="R79" s="56"/>
    </row>
    <row r="80" spans="1:18" s="57" customFormat="1" ht="71.25" hidden="1" customHeight="1">
      <c r="A80" s="62"/>
      <c r="B80" s="112" t="s">
        <v>194</v>
      </c>
      <c r="C80" s="107">
        <v>0</v>
      </c>
      <c r="D80" s="108">
        <f t="shared" si="18"/>
        <v>0</v>
      </c>
      <c r="E80" s="108">
        <v>0</v>
      </c>
      <c r="F80" s="109">
        <v>0</v>
      </c>
      <c r="G80" s="110">
        <v>0</v>
      </c>
      <c r="H80" s="108">
        <v>0</v>
      </c>
      <c r="I80" s="111">
        <v>0</v>
      </c>
      <c r="J80" s="111">
        <v>0</v>
      </c>
      <c r="K80" s="111">
        <v>0</v>
      </c>
      <c r="L80" s="108">
        <v>0</v>
      </c>
      <c r="M80" s="111">
        <v>0</v>
      </c>
      <c r="N80" s="111">
        <v>0</v>
      </c>
      <c r="O80" s="110">
        <v>0</v>
      </c>
      <c r="P80" s="127" t="e">
        <f t="shared" si="12"/>
        <v>#DIV/0!</v>
      </c>
      <c r="Q80" s="127" t="e">
        <f t="shared" si="13"/>
        <v>#DIV/0!</v>
      </c>
      <c r="R80" s="56"/>
    </row>
    <row r="81" spans="1:18" s="57" customFormat="1" ht="57.6" customHeight="1">
      <c r="A81" s="62"/>
      <c r="B81" s="112" t="s">
        <v>479</v>
      </c>
      <c r="C81" s="107">
        <v>2190</v>
      </c>
      <c r="D81" s="108">
        <f t="shared" si="18"/>
        <v>2190</v>
      </c>
      <c r="E81" s="108">
        <v>0</v>
      </c>
      <c r="F81" s="109">
        <f>C81</f>
        <v>2190</v>
      </c>
      <c r="G81" s="110">
        <v>0</v>
      </c>
      <c r="H81" s="108">
        <f t="shared" ref="H81:H86" si="19">J81</f>
        <v>2190</v>
      </c>
      <c r="I81" s="111">
        <v>0</v>
      </c>
      <c r="J81" s="111">
        <f>F81</f>
        <v>2190</v>
      </c>
      <c r="K81" s="111">
        <v>0</v>
      </c>
      <c r="L81" s="108">
        <f t="shared" ref="L81:L87" si="20">N81</f>
        <v>2190</v>
      </c>
      <c r="M81" s="111">
        <v>0</v>
      </c>
      <c r="N81" s="111">
        <f t="shared" ref="N81:N86" si="21">J81</f>
        <v>2190</v>
      </c>
      <c r="O81" s="110">
        <v>0</v>
      </c>
      <c r="P81" s="127">
        <f t="shared" si="12"/>
        <v>1</v>
      </c>
      <c r="Q81" s="127">
        <f t="shared" si="13"/>
        <v>1</v>
      </c>
      <c r="R81" s="56"/>
    </row>
    <row r="82" spans="1:18" s="57" customFormat="1" ht="49.15" customHeight="1">
      <c r="A82" s="62"/>
      <c r="B82" s="112" t="s">
        <v>195</v>
      </c>
      <c r="C82" s="107">
        <v>100</v>
      </c>
      <c r="D82" s="108">
        <f t="shared" si="18"/>
        <v>100</v>
      </c>
      <c r="E82" s="108">
        <v>0</v>
      </c>
      <c r="F82" s="109">
        <v>100</v>
      </c>
      <c r="G82" s="110">
        <v>0</v>
      </c>
      <c r="H82" s="108">
        <f t="shared" si="19"/>
        <v>86.1</v>
      </c>
      <c r="I82" s="111">
        <v>0</v>
      </c>
      <c r="J82" s="111">
        <v>86.1</v>
      </c>
      <c r="K82" s="111">
        <v>0</v>
      </c>
      <c r="L82" s="108">
        <f t="shared" si="20"/>
        <v>86.1</v>
      </c>
      <c r="M82" s="111">
        <v>0</v>
      </c>
      <c r="N82" s="111">
        <f t="shared" si="21"/>
        <v>86.1</v>
      </c>
      <c r="O82" s="110">
        <v>0</v>
      </c>
      <c r="P82" s="127">
        <f t="shared" si="12"/>
        <v>0.86099999999999999</v>
      </c>
      <c r="Q82" s="127">
        <f t="shared" si="13"/>
        <v>0.86099999999999999</v>
      </c>
      <c r="R82" s="56"/>
    </row>
    <row r="83" spans="1:18" s="57" customFormat="1" ht="67.900000000000006" customHeight="1">
      <c r="A83" s="62"/>
      <c r="B83" s="190" t="s">
        <v>413</v>
      </c>
      <c r="C83" s="107">
        <v>648.70000000000005</v>
      </c>
      <c r="D83" s="108">
        <f t="shared" si="18"/>
        <v>648.70000000000005</v>
      </c>
      <c r="E83" s="108">
        <v>0</v>
      </c>
      <c r="F83" s="109">
        <v>648.70000000000005</v>
      </c>
      <c r="G83" s="110">
        <v>0</v>
      </c>
      <c r="H83" s="108">
        <f t="shared" si="19"/>
        <v>648.70000000000005</v>
      </c>
      <c r="I83" s="111">
        <v>0</v>
      </c>
      <c r="J83" s="111">
        <v>648.70000000000005</v>
      </c>
      <c r="K83" s="111">
        <v>0</v>
      </c>
      <c r="L83" s="108">
        <f t="shared" si="20"/>
        <v>648.70000000000005</v>
      </c>
      <c r="M83" s="111">
        <v>0</v>
      </c>
      <c r="N83" s="111">
        <f t="shared" si="21"/>
        <v>648.70000000000005</v>
      </c>
      <c r="O83" s="110">
        <v>0</v>
      </c>
      <c r="P83" s="100">
        <f t="shared" si="12"/>
        <v>1</v>
      </c>
      <c r="Q83" s="129">
        <f t="shared" si="13"/>
        <v>1</v>
      </c>
      <c r="R83" s="56"/>
    </row>
    <row r="84" spans="1:18" s="57" customFormat="1" ht="55.15" customHeight="1">
      <c r="A84" s="62"/>
      <c r="B84" s="190" t="s">
        <v>414</v>
      </c>
      <c r="C84" s="107">
        <v>232.2</v>
      </c>
      <c r="D84" s="108">
        <f t="shared" si="18"/>
        <v>232.2</v>
      </c>
      <c r="E84" s="108">
        <v>0</v>
      </c>
      <c r="F84" s="109">
        <v>232.2</v>
      </c>
      <c r="G84" s="110">
        <v>0</v>
      </c>
      <c r="H84" s="108">
        <f t="shared" si="19"/>
        <v>232.2</v>
      </c>
      <c r="I84" s="111">
        <v>0</v>
      </c>
      <c r="J84" s="111">
        <f>F84</f>
        <v>232.2</v>
      </c>
      <c r="K84" s="111">
        <v>0</v>
      </c>
      <c r="L84" s="108">
        <f t="shared" si="20"/>
        <v>232.2</v>
      </c>
      <c r="M84" s="111">
        <v>0</v>
      </c>
      <c r="N84" s="111">
        <f t="shared" si="21"/>
        <v>232.2</v>
      </c>
      <c r="O84" s="110">
        <v>0</v>
      </c>
      <c r="P84" s="100">
        <f t="shared" si="12"/>
        <v>1</v>
      </c>
      <c r="Q84" s="129">
        <f t="shared" si="13"/>
        <v>1</v>
      </c>
      <c r="R84" s="56"/>
    </row>
    <row r="85" spans="1:18" s="57" customFormat="1" ht="57.75" customHeight="1">
      <c r="A85" s="62"/>
      <c r="B85" s="190" t="s">
        <v>480</v>
      </c>
      <c r="C85" s="107">
        <v>1050</v>
      </c>
      <c r="D85" s="108">
        <f t="shared" si="18"/>
        <v>1050</v>
      </c>
      <c r="E85" s="108">
        <v>0</v>
      </c>
      <c r="F85" s="109">
        <f>C85</f>
        <v>1050</v>
      </c>
      <c r="G85" s="110">
        <v>0</v>
      </c>
      <c r="H85" s="108">
        <f t="shared" si="19"/>
        <v>1038.5999999999999</v>
      </c>
      <c r="I85" s="111">
        <v>0</v>
      </c>
      <c r="J85" s="111">
        <v>1038.5999999999999</v>
      </c>
      <c r="K85" s="111">
        <v>0</v>
      </c>
      <c r="L85" s="108">
        <f t="shared" si="20"/>
        <v>1038.5999999999999</v>
      </c>
      <c r="M85" s="111">
        <v>0</v>
      </c>
      <c r="N85" s="111">
        <f t="shared" si="21"/>
        <v>1038.5999999999999</v>
      </c>
      <c r="O85" s="110">
        <v>0</v>
      </c>
      <c r="P85" s="100">
        <f t="shared" si="12"/>
        <v>0.98899999999999999</v>
      </c>
      <c r="Q85" s="129">
        <f t="shared" si="13"/>
        <v>0.98899999999999999</v>
      </c>
      <c r="R85" s="56"/>
    </row>
    <row r="86" spans="1:18" s="57" customFormat="1" ht="65.25" customHeight="1">
      <c r="A86" s="62"/>
      <c r="B86" s="190" t="s">
        <v>552</v>
      </c>
      <c r="C86" s="107">
        <v>47.5</v>
      </c>
      <c r="D86" s="108">
        <f t="shared" si="18"/>
        <v>47.5</v>
      </c>
      <c r="E86" s="108">
        <v>0</v>
      </c>
      <c r="F86" s="109">
        <f>C86</f>
        <v>47.5</v>
      </c>
      <c r="G86" s="110">
        <v>0</v>
      </c>
      <c r="H86" s="108">
        <f t="shared" si="19"/>
        <v>47.5</v>
      </c>
      <c r="I86" s="111">
        <v>0</v>
      </c>
      <c r="J86" s="111">
        <v>47.5</v>
      </c>
      <c r="K86" s="111">
        <v>0</v>
      </c>
      <c r="L86" s="108">
        <f t="shared" si="20"/>
        <v>47.5</v>
      </c>
      <c r="M86" s="111">
        <v>0</v>
      </c>
      <c r="N86" s="111">
        <f t="shared" si="21"/>
        <v>47.5</v>
      </c>
      <c r="O86" s="110">
        <v>0</v>
      </c>
      <c r="P86" s="100">
        <f t="shared" si="12"/>
        <v>1</v>
      </c>
      <c r="Q86" s="129">
        <f t="shared" si="13"/>
        <v>1</v>
      </c>
      <c r="R86" s="56"/>
    </row>
    <row r="87" spans="1:18" s="57" customFormat="1" ht="40.15" customHeight="1">
      <c r="A87" s="62" t="s">
        <v>196</v>
      </c>
      <c r="B87" s="112" t="s">
        <v>197</v>
      </c>
      <c r="C87" s="107">
        <f>C90+C91</f>
        <v>9187.2999999999993</v>
      </c>
      <c r="D87" s="108">
        <f>D90+D91</f>
        <v>9187.2999999999993</v>
      </c>
      <c r="E87" s="108">
        <f t="shared" ref="E87:O87" si="22">E90+E91</f>
        <v>0</v>
      </c>
      <c r="F87" s="108">
        <f t="shared" si="22"/>
        <v>9187.2999999999993</v>
      </c>
      <c r="G87" s="108">
        <f t="shared" si="22"/>
        <v>0</v>
      </c>
      <c r="H87" s="108">
        <f t="shared" si="22"/>
        <v>9067.7999999999993</v>
      </c>
      <c r="I87" s="108">
        <f t="shared" si="22"/>
        <v>0</v>
      </c>
      <c r="J87" s="108">
        <f t="shared" si="22"/>
        <v>9067.7999999999993</v>
      </c>
      <c r="K87" s="108">
        <f t="shared" si="22"/>
        <v>0</v>
      </c>
      <c r="L87" s="108">
        <f t="shared" si="20"/>
        <v>9067.7999999999993</v>
      </c>
      <c r="M87" s="108">
        <f t="shared" si="22"/>
        <v>0</v>
      </c>
      <c r="N87" s="108">
        <f>N90+N91</f>
        <v>9067.7999999999993</v>
      </c>
      <c r="O87" s="108">
        <f t="shared" si="22"/>
        <v>0</v>
      </c>
      <c r="P87" s="100">
        <f t="shared" si="12"/>
        <v>0.98699999999999999</v>
      </c>
      <c r="Q87" s="129">
        <f t="shared" si="13"/>
        <v>0.98699999999999999</v>
      </c>
      <c r="R87" s="56"/>
    </row>
    <row r="88" spans="1:18" s="57" customFormat="1" ht="111.75" hidden="1" customHeight="1">
      <c r="A88" s="62"/>
      <c r="B88" s="112" t="s">
        <v>198</v>
      </c>
      <c r="C88" s="107">
        <v>0</v>
      </c>
      <c r="D88" s="108"/>
      <c r="E88" s="108"/>
      <c r="F88" s="109"/>
      <c r="G88" s="110"/>
      <c r="H88" s="108"/>
      <c r="I88" s="111"/>
      <c r="J88" s="111"/>
      <c r="K88" s="111"/>
      <c r="L88" s="108"/>
      <c r="M88" s="111"/>
      <c r="N88" s="111"/>
      <c r="O88" s="110"/>
      <c r="P88" s="100" t="e">
        <f t="shared" si="12"/>
        <v>#DIV/0!</v>
      </c>
      <c r="Q88" s="129" t="e">
        <f>L88/H88</f>
        <v>#DIV/0!</v>
      </c>
      <c r="R88" s="56"/>
    </row>
    <row r="89" spans="1:18" s="57" customFormat="1" ht="58.5" hidden="1" customHeight="1">
      <c r="A89" s="62"/>
      <c r="B89" s="112" t="s">
        <v>199</v>
      </c>
      <c r="C89" s="107">
        <v>0</v>
      </c>
      <c r="D89" s="108"/>
      <c r="E89" s="108"/>
      <c r="F89" s="109"/>
      <c r="G89" s="110"/>
      <c r="H89" s="108"/>
      <c r="I89" s="111"/>
      <c r="J89" s="111"/>
      <c r="K89" s="111"/>
      <c r="L89" s="108"/>
      <c r="M89" s="111"/>
      <c r="N89" s="111"/>
      <c r="O89" s="110"/>
      <c r="P89" s="100" t="e">
        <f t="shared" si="12"/>
        <v>#DIV/0!</v>
      </c>
      <c r="Q89" s="129" t="e">
        <f>L89/H89</f>
        <v>#DIV/0!</v>
      </c>
      <c r="R89" s="56"/>
    </row>
    <row r="90" spans="1:18" s="57" customFormat="1" ht="38.450000000000003" customHeight="1">
      <c r="A90" s="62"/>
      <c r="B90" s="112" t="s">
        <v>200</v>
      </c>
      <c r="C90" s="107">
        <v>8190.7</v>
      </c>
      <c r="D90" s="108">
        <f>F90</f>
        <v>8190.7</v>
      </c>
      <c r="E90" s="108">
        <v>0</v>
      </c>
      <c r="F90" s="109">
        <f>C90</f>
        <v>8190.7</v>
      </c>
      <c r="G90" s="110">
        <v>0</v>
      </c>
      <c r="H90" s="108">
        <f>J90</f>
        <v>8071.6</v>
      </c>
      <c r="I90" s="111">
        <v>0</v>
      </c>
      <c r="J90" s="111">
        <v>8071.6</v>
      </c>
      <c r="K90" s="111">
        <v>0</v>
      </c>
      <c r="L90" s="108">
        <f>N90</f>
        <v>8071.6</v>
      </c>
      <c r="M90" s="111">
        <v>0</v>
      </c>
      <c r="N90" s="111">
        <f>J90</f>
        <v>8071.6</v>
      </c>
      <c r="O90" s="110">
        <v>0</v>
      </c>
      <c r="P90" s="100">
        <f t="shared" si="12"/>
        <v>0.98499999999999999</v>
      </c>
      <c r="Q90" s="129">
        <f>L90/D90</f>
        <v>0.98499999999999999</v>
      </c>
      <c r="R90" s="56"/>
    </row>
    <row r="91" spans="1:18" s="57" customFormat="1" ht="41.45" customHeight="1">
      <c r="A91" s="62"/>
      <c r="B91" s="112" t="s">
        <v>201</v>
      </c>
      <c r="C91" s="107">
        <v>996.6</v>
      </c>
      <c r="D91" s="108">
        <f>F91</f>
        <v>996.6</v>
      </c>
      <c r="E91" s="108">
        <v>0</v>
      </c>
      <c r="F91" s="109">
        <f>C91</f>
        <v>996.6</v>
      </c>
      <c r="G91" s="110">
        <v>0</v>
      </c>
      <c r="H91" s="108">
        <f>J91</f>
        <v>996.2</v>
      </c>
      <c r="I91" s="111">
        <v>0</v>
      </c>
      <c r="J91" s="111">
        <v>996.2</v>
      </c>
      <c r="K91" s="111">
        <v>0</v>
      </c>
      <c r="L91" s="108">
        <f>N91</f>
        <v>996.2</v>
      </c>
      <c r="M91" s="111">
        <v>0</v>
      </c>
      <c r="N91" s="111">
        <f>J91</f>
        <v>996.2</v>
      </c>
      <c r="O91" s="110">
        <v>0</v>
      </c>
      <c r="P91" s="100">
        <f t="shared" si="12"/>
        <v>1</v>
      </c>
      <c r="Q91" s="129">
        <f>L91/D91</f>
        <v>1</v>
      </c>
      <c r="R91" s="56"/>
    </row>
    <row r="92" spans="1:18" s="57" customFormat="1" ht="33" customHeight="1">
      <c r="A92" s="114"/>
      <c r="B92" s="115" t="s">
        <v>167</v>
      </c>
      <c r="C92" s="116">
        <f>C74+C69</f>
        <v>14964.1</v>
      </c>
      <c r="D92" s="116">
        <f t="shared" ref="D92:O92" si="23">D74+D69</f>
        <v>14964.1</v>
      </c>
      <c r="E92" s="116">
        <f t="shared" si="23"/>
        <v>0</v>
      </c>
      <c r="F92" s="116">
        <f t="shared" si="23"/>
        <v>14964.1</v>
      </c>
      <c r="G92" s="116">
        <f t="shared" si="23"/>
        <v>0</v>
      </c>
      <c r="H92" s="116">
        <f t="shared" si="23"/>
        <v>14709.2</v>
      </c>
      <c r="I92" s="116">
        <f t="shared" si="23"/>
        <v>0</v>
      </c>
      <c r="J92" s="116">
        <f t="shared" si="23"/>
        <v>14709.2</v>
      </c>
      <c r="K92" s="116">
        <f t="shared" si="23"/>
        <v>0</v>
      </c>
      <c r="L92" s="116">
        <f t="shared" si="23"/>
        <v>14709.2</v>
      </c>
      <c r="M92" s="116">
        <f t="shared" si="23"/>
        <v>0</v>
      </c>
      <c r="N92" s="116">
        <f t="shared" si="23"/>
        <v>14709.2</v>
      </c>
      <c r="O92" s="116">
        <f t="shared" si="23"/>
        <v>0</v>
      </c>
      <c r="P92" s="121">
        <f>H92/D92</f>
        <v>0.98299999999999998</v>
      </c>
      <c r="Q92" s="122">
        <f>L92/D92</f>
        <v>0.98299999999999998</v>
      </c>
      <c r="R92" s="56"/>
    </row>
    <row r="93" spans="1:18" s="57" customFormat="1" ht="33" customHeight="1">
      <c r="A93" s="114"/>
      <c r="B93" s="289" t="s">
        <v>202</v>
      </c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1"/>
      <c r="R93" s="56"/>
    </row>
    <row r="94" spans="1:18" s="57" customFormat="1" ht="89.45" customHeight="1">
      <c r="A94" s="58" t="s">
        <v>203</v>
      </c>
      <c r="B94" s="59" t="s">
        <v>204</v>
      </c>
      <c r="C94" s="96">
        <f>C95</f>
        <v>49125.9</v>
      </c>
      <c r="D94" s="128">
        <f>D95</f>
        <v>49125.9</v>
      </c>
      <c r="E94" s="128">
        <f t="shared" ref="E94:O94" si="24">E95</f>
        <v>0</v>
      </c>
      <c r="F94" s="128">
        <f t="shared" si="24"/>
        <v>49125.9</v>
      </c>
      <c r="G94" s="128">
        <f t="shared" si="24"/>
        <v>0</v>
      </c>
      <c r="H94" s="128">
        <f t="shared" si="24"/>
        <v>48893.4</v>
      </c>
      <c r="I94" s="128">
        <f t="shared" si="24"/>
        <v>0</v>
      </c>
      <c r="J94" s="128">
        <f t="shared" si="24"/>
        <v>48893.4</v>
      </c>
      <c r="K94" s="128">
        <f t="shared" si="24"/>
        <v>1398.8</v>
      </c>
      <c r="L94" s="128">
        <f t="shared" si="24"/>
        <v>48893.4</v>
      </c>
      <c r="M94" s="128">
        <f t="shared" si="24"/>
        <v>0</v>
      </c>
      <c r="N94" s="128">
        <f t="shared" si="24"/>
        <v>48893.4</v>
      </c>
      <c r="O94" s="128">
        <f t="shared" si="24"/>
        <v>0</v>
      </c>
      <c r="P94" s="97">
        <f t="shared" ref="P94:P102" si="25">H94/D94</f>
        <v>0.995</v>
      </c>
      <c r="Q94" s="126">
        <f t="shared" ref="Q94:Q102" si="26">L94/D94</f>
        <v>0.995</v>
      </c>
      <c r="R94" s="56"/>
    </row>
    <row r="95" spans="1:18" s="57" customFormat="1" ht="85.9" customHeight="1">
      <c r="A95" s="62" t="s">
        <v>205</v>
      </c>
      <c r="B95" s="72" t="s">
        <v>206</v>
      </c>
      <c r="C95" s="99">
        <v>49125.9</v>
      </c>
      <c r="D95" s="99">
        <f>F95</f>
        <v>49125.9</v>
      </c>
      <c r="E95" s="99">
        <v>0</v>
      </c>
      <c r="F95" s="99">
        <f>C95</f>
        <v>49125.9</v>
      </c>
      <c r="G95" s="99">
        <v>0</v>
      </c>
      <c r="H95" s="99">
        <f>J95</f>
        <v>48893.4</v>
      </c>
      <c r="I95" s="99">
        <v>0</v>
      </c>
      <c r="J95" s="99">
        <v>48893.4</v>
      </c>
      <c r="K95" s="99">
        <f>SUM(K97:K228)</f>
        <v>1398.8</v>
      </c>
      <c r="L95" s="99">
        <f>N95</f>
        <v>48893.4</v>
      </c>
      <c r="M95" s="99">
        <v>0</v>
      </c>
      <c r="N95" s="99">
        <f>J95</f>
        <v>48893.4</v>
      </c>
      <c r="O95" s="99">
        <v>0</v>
      </c>
      <c r="P95" s="100">
        <f t="shared" si="25"/>
        <v>0.995</v>
      </c>
      <c r="Q95" s="129">
        <f t="shared" si="26"/>
        <v>0.995</v>
      </c>
      <c r="R95" s="56"/>
    </row>
    <row r="96" spans="1:18" s="57" customFormat="1" ht="52.9" customHeight="1">
      <c r="A96" s="74" t="s">
        <v>207</v>
      </c>
      <c r="B96" s="59" t="s">
        <v>208</v>
      </c>
      <c r="C96" s="96">
        <f>C97</f>
        <v>51565</v>
      </c>
      <c r="D96" s="96">
        <f t="shared" ref="D96:O97" si="27">D97</f>
        <v>51565</v>
      </c>
      <c r="E96" s="96">
        <f t="shared" si="27"/>
        <v>0</v>
      </c>
      <c r="F96" s="96">
        <f t="shared" si="27"/>
        <v>51565</v>
      </c>
      <c r="G96" s="96">
        <f t="shared" si="27"/>
        <v>0</v>
      </c>
      <c r="H96" s="96">
        <f t="shared" si="27"/>
        <v>51310.2</v>
      </c>
      <c r="I96" s="96">
        <f t="shared" si="27"/>
        <v>0</v>
      </c>
      <c r="J96" s="96">
        <f t="shared" si="27"/>
        <v>51310.2</v>
      </c>
      <c r="K96" s="96">
        <f t="shared" si="27"/>
        <v>0</v>
      </c>
      <c r="L96" s="96">
        <f t="shared" si="27"/>
        <v>51310.2</v>
      </c>
      <c r="M96" s="96">
        <f t="shared" si="27"/>
        <v>0</v>
      </c>
      <c r="N96" s="96">
        <f t="shared" si="27"/>
        <v>51310.2</v>
      </c>
      <c r="O96" s="96">
        <f t="shared" si="27"/>
        <v>0</v>
      </c>
      <c r="P96" s="97">
        <f t="shared" si="25"/>
        <v>0.995</v>
      </c>
      <c r="Q96" s="126">
        <f t="shared" si="26"/>
        <v>0.995</v>
      </c>
      <c r="R96" s="56"/>
    </row>
    <row r="97" spans="1:18" s="57" customFormat="1" ht="41.45" customHeight="1">
      <c r="A97" s="62" t="s">
        <v>209</v>
      </c>
      <c r="B97" s="63" t="s">
        <v>210</v>
      </c>
      <c r="C97" s="107">
        <f>C98</f>
        <v>51565</v>
      </c>
      <c r="D97" s="107">
        <f t="shared" si="27"/>
        <v>51565</v>
      </c>
      <c r="E97" s="107">
        <f t="shared" si="27"/>
        <v>0</v>
      </c>
      <c r="F97" s="107">
        <f>C97</f>
        <v>51565</v>
      </c>
      <c r="G97" s="107">
        <f t="shared" si="27"/>
        <v>0</v>
      </c>
      <c r="H97" s="107">
        <f>J97</f>
        <v>51310.2</v>
      </c>
      <c r="I97" s="107">
        <f t="shared" si="27"/>
        <v>0</v>
      </c>
      <c r="J97" s="107">
        <f>J98</f>
        <v>51310.2</v>
      </c>
      <c r="K97" s="107">
        <f t="shared" si="27"/>
        <v>0</v>
      </c>
      <c r="L97" s="107">
        <f>N97</f>
        <v>51310.2</v>
      </c>
      <c r="M97" s="107">
        <f t="shared" si="27"/>
        <v>0</v>
      </c>
      <c r="N97" s="107">
        <f>N98</f>
        <v>51310.2</v>
      </c>
      <c r="O97" s="107">
        <f t="shared" si="27"/>
        <v>0</v>
      </c>
      <c r="P97" s="100">
        <f t="shared" si="25"/>
        <v>0.995</v>
      </c>
      <c r="Q97" s="129">
        <f t="shared" si="26"/>
        <v>0.995</v>
      </c>
      <c r="R97" s="56"/>
    </row>
    <row r="98" spans="1:18" s="57" customFormat="1" ht="39" customHeight="1">
      <c r="A98" s="62"/>
      <c r="B98" s="63" t="s">
        <v>211</v>
      </c>
      <c r="C98" s="107">
        <v>51565</v>
      </c>
      <c r="D98" s="108">
        <f>F97</f>
        <v>51565</v>
      </c>
      <c r="E98" s="108">
        <v>0</v>
      </c>
      <c r="F98" s="109">
        <f>D98</f>
        <v>51565</v>
      </c>
      <c r="G98" s="110">
        <v>0</v>
      </c>
      <c r="H98" s="108">
        <f>I98+J98+K98</f>
        <v>51310.2</v>
      </c>
      <c r="I98" s="111">
        <v>0</v>
      </c>
      <c r="J98" s="111">
        <v>51310.2</v>
      </c>
      <c r="K98" s="111">
        <v>0</v>
      </c>
      <c r="L98" s="108">
        <f>M98+N98+O98</f>
        <v>51310.2</v>
      </c>
      <c r="M98" s="111">
        <v>0</v>
      </c>
      <c r="N98" s="111">
        <f>J98</f>
        <v>51310.2</v>
      </c>
      <c r="O98" s="110">
        <v>0</v>
      </c>
      <c r="P98" s="100">
        <f t="shared" si="25"/>
        <v>0.995</v>
      </c>
      <c r="Q98" s="129">
        <f t="shared" si="26"/>
        <v>0.995</v>
      </c>
      <c r="R98" s="56"/>
    </row>
    <row r="99" spans="1:18" s="57" customFormat="1" ht="106.9" customHeight="1">
      <c r="A99" s="74" t="s">
        <v>212</v>
      </c>
      <c r="B99" s="113" t="s">
        <v>213</v>
      </c>
      <c r="C99" s="102">
        <f>C100+C105+C111+C124+C125+C128+C129</f>
        <v>106179.2</v>
      </c>
      <c r="D99" s="102">
        <f t="shared" ref="D99:N99" si="28">D100+D105+D111+D124+D125+D128+D129</f>
        <v>106179.2</v>
      </c>
      <c r="E99" s="102">
        <f t="shared" si="28"/>
        <v>80570.5</v>
      </c>
      <c r="F99" s="102">
        <f t="shared" si="28"/>
        <v>25608.7</v>
      </c>
      <c r="G99" s="102">
        <f t="shared" si="28"/>
        <v>0</v>
      </c>
      <c r="H99" s="102">
        <f t="shared" si="28"/>
        <v>102178.1</v>
      </c>
      <c r="I99" s="102">
        <f t="shared" si="28"/>
        <v>80418.600000000006</v>
      </c>
      <c r="J99" s="102">
        <f t="shared" si="28"/>
        <v>21759.5</v>
      </c>
      <c r="K99" s="102">
        <f t="shared" si="28"/>
        <v>0</v>
      </c>
      <c r="L99" s="102">
        <f t="shared" si="28"/>
        <v>102178.1</v>
      </c>
      <c r="M99" s="102">
        <f t="shared" si="28"/>
        <v>80418.600000000006</v>
      </c>
      <c r="N99" s="102">
        <f t="shared" si="28"/>
        <v>21759.5</v>
      </c>
      <c r="O99" s="102">
        <f>O100+O105+O111+O124+O125+O128+O129+O132+O133</f>
        <v>0</v>
      </c>
      <c r="P99" s="97">
        <f t="shared" si="25"/>
        <v>0.96199999999999997</v>
      </c>
      <c r="Q99" s="126">
        <f t="shared" si="26"/>
        <v>0.96199999999999997</v>
      </c>
      <c r="R99" s="56"/>
    </row>
    <row r="100" spans="1:18" s="57" customFormat="1" ht="56.45" customHeight="1">
      <c r="A100" s="62" t="s">
        <v>214</v>
      </c>
      <c r="B100" s="63" t="s">
        <v>215</v>
      </c>
      <c r="C100" s="130">
        <f>C101+C103+C104+C102</f>
        <v>5062.3999999999996</v>
      </c>
      <c r="D100" s="130">
        <f t="shared" ref="D100:O100" si="29">D101+D103+D104+D102</f>
        <v>5062.3999999999996</v>
      </c>
      <c r="E100" s="130">
        <f t="shared" si="29"/>
        <v>0</v>
      </c>
      <c r="F100" s="130">
        <f t="shared" si="29"/>
        <v>5062.3999999999996</v>
      </c>
      <c r="G100" s="130">
        <f t="shared" si="29"/>
        <v>0</v>
      </c>
      <c r="H100" s="130">
        <f t="shared" si="29"/>
        <v>5057.5</v>
      </c>
      <c r="I100" s="130">
        <f t="shared" si="29"/>
        <v>0</v>
      </c>
      <c r="J100" s="130">
        <f t="shared" si="29"/>
        <v>5057.5</v>
      </c>
      <c r="K100" s="130">
        <f t="shared" si="29"/>
        <v>0</v>
      </c>
      <c r="L100" s="130">
        <f t="shared" si="29"/>
        <v>5057.5</v>
      </c>
      <c r="M100" s="130">
        <f t="shared" si="29"/>
        <v>0</v>
      </c>
      <c r="N100" s="130">
        <f t="shared" si="29"/>
        <v>5057.5</v>
      </c>
      <c r="O100" s="130">
        <f t="shared" si="29"/>
        <v>0</v>
      </c>
      <c r="P100" s="97">
        <f t="shared" si="25"/>
        <v>0.999</v>
      </c>
      <c r="Q100" s="126">
        <f t="shared" si="26"/>
        <v>0.999</v>
      </c>
      <c r="R100" s="56"/>
    </row>
    <row r="101" spans="1:18" s="57" customFormat="1" ht="57" customHeight="1">
      <c r="A101" s="62"/>
      <c r="B101" s="63" t="s">
        <v>216</v>
      </c>
      <c r="C101" s="130">
        <v>1636.8</v>
      </c>
      <c r="D101" s="108">
        <f>F101</f>
        <v>1636.8</v>
      </c>
      <c r="E101" s="108">
        <v>0</v>
      </c>
      <c r="F101" s="109">
        <v>1636.8</v>
      </c>
      <c r="G101" s="110">
        <v>0</v>
      </c>
      <c r="H101" s="108">
        <f>J101</f>
        <v>1636.7</v>
      </c>
      <c r="I101" s="111">
        <v>0</v>
      </c>
      <c r="J101" s="111">
        <v>1636.7</v>
      </c>
      <c r="K101" s="111">
        <v>0</v>
      </c>
      <c r="L101" s="108">
        <f>N101</f>
        <v>1636.7</v>
      </c>
      <c r="M101" s="111">
        <v>0</v>
      </c>
      <c r="N101" s="111">
        <f>J101</f>
        <v>1636.7</v>
      </c>
      <c r="O101" s="110">
        <v>0</v>
      </c>
      <c r="P101" s="100">
        <f t="shared" si="25"/>
        <v>1</v>
      </c>
      <c r="Q101" s="129">
        <f t="shared" si="26"/>
        <v>1</v>
      </c>
      <c r="R101" s="56"/>
    </row>
    <row r="102" spans="1:18" s="57" customFormat="1" ht="56.25" customHeight="1">
      <c r="A102" s="62"/>
      <c r="B102" s="63" t="s">
        <v>553</v>
      </c>
      <c r="C102" s="130">
        <v>297</v>
      </c>
      <c r="D102" s="108">
        <f>F102</f>
        <v>297</v>
      </c>
      <c r="E102" s="108">
        <v>0</v>
      </c>
      <c r="F102" s="109">
        <f>C102</f>
        <v>297</v>
      </c>
      <c r="G102" s="110">
        <v>0</v>
      </c>
      <c r="H102" s="108">
        <f>J102</f>
        <v>297</v>
      </c>
      <c r="I102" s="111">
        <v>0</v>
      </c>
      <c r="J102" s="111">
        <f>F102</f>
        <v>297</v>
      </c>
      <c r="K102" s="111">
        <v>0</v>
      </c>
      <c r="L102" s="108">
        <f>N102</f>
        <v>297</v>
      </c>
      <c r="M102" s="111">
        <v>0</v>
      </c>
      <c r="N102" s="111">
        <f>J102</f>
        <v>297</v>
      </c>
      <c r="O102" s="110">
        <v>0</v>
      </c>
      <c r="P102" s="100">
        <f t="shared" si="25"/>
        <v>1</v>
      </c>
      <c r="Q102" s="129">
        <f t="shared" si="26"/>
        <v>1</v>
      </c>
      <c r="R102" s="56"/>
    </row>
    <row r="103" spans="1:18" s="57" customFormat="1" ht="118.15" customHeight="1">
      <c r="A103" s="62"/>
      <c r="B103" s="63" t="s">
        <v>217</v>
      </c>
      <c r="C103" s="130">
        <v>4.7</v>
      </c>
      <c r="D103" s="108">
        <f>F103</f>
        <v>4.7</v>
      </c>
      <c r="E103" s="108">
        <v>0</v>
      </c>
      <c r="F103" s="109">
        <f>C103</f>
        <v>4.7</v>
      </c>
      <c r="G103" s="110">
        <v>0</v>
      </c>
      <c r="H103" s="108">
        <f>J103</f>
        <v>0</v>
      </c>
      <c r="I103" s="111">
        <v>0</v>
      </c>
      <c r="J103" s="111">
        <v>0</v>
      </c>
      <c r="K103" s="111">
        <v>0</v>
      </c>
      <c r="L103" s="108">
        <v>0</v>
      </c>
      <c r="M103" s="111">
        <v>0</v>
      </c>
      <c r="N103" s="111">
        <v>0</v>
      </c>
      <c r="O103" s="110">
        <v>0</v>
      </c>
      <c r="P103" s="100">
        <f>H103/D103</f>
        <v>0</v>
      </c>
      <c r="Q103" s="129">
        <f>L103/D103</f>
        <v>0</v>
      </c>
      <c r="R103" s="56"/>
    </row>
    <row r="104" spans="1:18" s="57" customFormat="1" ht="38.450000000000003" customHeight="1">
      <c r="A104" s="62"/>
      <c r="B104" s="190" t="s">
        <v>415</v>
      </c>
      <c r="C104" s="130">
        <v>3123.9</v>
      </c>
      <c r="D104" s="108">
        <f>F104</f>
        <v>3123.9</v>
      </c>
      <c r="E104" s="108">
        <v>0</v>
      </c>
      <c r="F104" s="109">
        <f>C104</f>
        <v>3123.9</v>
      </c>
      <c r="G104" s="110">
        <v>0</v>
      </c>
      <c r="H104" s="108">
        <f>J104</f>
        <v>3123.8</v>
      </c>
      <c r="I104" s="111">
        <v>0</v>
      </c>
      <c r="J104" s="111">
        <v>3123.8</v>
      </c>
      <c r="K104" s="111">
        <v>0</v>
      </c>
      <c r="L104" s="108">
        <f>N104</f>
        <v>3123.8</v>
      </c>
      <c r="M104" s="111">
        <v>0</v>
      </c>
      <c r="N104" s="111">
        <f>J104</f>
        <v>3123.8</v>
      </c>
      <c r="O104" s="110">
        <v>0</v>
      </c>
      <c r="P104" s="100">
        <f>H104/D104</f>
        <v>1</v>
      </c>
      <c r="Q104" s="129">
        <f>L104/D104</f>
        <v>1</v>
      </c>
      <c r="R104" s="56"/>
    </row>
    <row r="105" spans="1:18" s="57" customFormat="1" ht="73.900000000000006" customHeight="1">
      <c r="A105" s="62" t="s">
        <v>218</v>
      </c>
      <c r="B105" s="63" t="s">
        <v>219</v>
      </c>
      <c r="C105" s="130">
        <f>C106+C108+C109+C110+0.1</f>
        <v>10142.700000000001</v>
      </c>
      <c r="D105" s="130">
        <f>D106+D108+D109+D110+0.1</f>
        <v>10142.700000000001</v>
      </c>
      <c r="E105" s="108">
        <f t="shared" ref="E105:O105" si="30">E106+E108+E109+E110</f>
        <v>0</v>
      </c>
      <c r="F105" s="108">
        <f>F106+F108+F109+F110+0.1</f>
        <v>10142.700000000001</v>
      </c>
      <c r="G105" s="108">
        <f t="shared" si="30"/>
        <v>0</v>
      </c>
      <c r="H105" s="108">
        <f t="shared" si="30"/>
        <v>8686.2000000000007</v>
      </c>
      <c r="I105" s="108">
        <f t="shared" si="30"/>
        <v>0</v>
      </c>
      <c r="J105" s="108">
        <f t="shared" si="30"/>
        <v>8686.2000000000007</v>
      </c>
      <c r="K105" s="108">
        <f t="shared" si="30"/>
        <v>0</v>
      </c>
      <c r="L105" s="108">
        <f t="shared" si="30"/>
        <v>8686.2000000000007</v>
      </c>
      <c r="M105" s="108">
        <f t="shared" si="30"/>
        <v>0</v>
      </c>
      <c r="N105" s="108">
        <f t="shared" si="30"/>
        <v>8686.2000000000007</v>
      </c>
      <c r="O105" s="108">
        <f t="shared" si="30"/>
        <v>0</v>
      </c>
      <c r="P105" s="100">
        <f>H105/D105</f>
        <v>0.85599999999999998</v>
      </c>
      <c r="Q105" s="129">
        <f>L105/D105</f>
        <v>0.85599999999999998</v>
      </c>
      <c r="R105" s="56"/>
    </row>
    <row r="106" spans="1:18" s="57" customFormat="1" ht="29.45" customHeight="1">
      <c r="A106" s="62"/>
      <c r="B106" s="63" t="s">
        <v>220</v>
      </c>
      <c r="C106" s="130">
        <v>5569.3</v>
      </c>
      <c r="D106" s="108">
        <f>F106</f>
        <v>5569.3</v>
      </c>
      <c r="E106" s="108">
        <v>0</v>
      </c>
      <c r="F106" s="109">
        <f>C106</f>
        <v>5569.3</v>
      </c>
      <c r="G106" s="110">
        <v>0</v>
      </c>
      <c r="H106" s="108">
        <f>J106</f>
        <v>5038.1000000000004</v>
      </c>
      <c r="I106" s="111">
        <v>0</v>
      </c>
      <c r="J106" s="111">
        <v>5038.1000000000004</v>
      </c>
      <c r="K106" s="111">
        <v>0</v>
      </c>
      <c r="L106" s="108">
        <f>N106</f>
        <v>5038.1000000000004</v>
      </c>
      <c r="M106" s="111">
        <v>0</v>
      </c>
      <c r="N106" s="111">
        <f>J106</f>
        <v>5038.1000000000004</v>
      </c>
      <c r="O106" s="110">
        <v>0</v>
      </c>
      <c r="P106" s="100">
        <f>H106/D106</f>
        <v>0.90500000000000003</v>
      </c>
      <c r="Q106" s="129">
        <f>L106/D106</f>
        <v>0.90500000000000003</v>
      </c>
      <c r="R106" s="56"/>
    </row>
    <row r="107" spans="1:18" s="57" customFormat="1" ht="37.5" hidden="1" customHeight="1">
      <c r="A107" s="62"/>
      <c r="B107" s="63" t="s">
        <v>221</v>
      </c>
      <c r="C107" s="130">
        <v>0</v>
      </c>
      <c r="D107" s="108">
        <v>0</v>
      </c>
      <c r="E107" s="108">
        <v>0</v>
      </c>
      <c r="F107" s="109">
        <v>0</v>
      </c>
      <c r="G107" s="110">
        <v>0</v>
      </c>
      <c r="H107" s="108">
        <v>0</v>
      </c>
      <c r="I107" s="111">
        <v>0</v>
      </c>
      <c r="J107" s="111">
        <v>0</v>
      </c>
      <c r="K107" s="111">
        <v>0</v>
      </c>
      <c r="L107" s="108">
        <v>0</v>
      </c>
      <c r="M107" s="111">
        <v>0</v>
      </c>
      <c r="N107" s="111">
        <v>0</v>
      </c>
      <c r="O107" s="110">
        <v>0</v>
      </c>
      <c r="P107" s="100">
        <v>0</v>
      </c>
      <c r="Q107" s="129">
        <v>0</v>
      </c>
      <c r="R107" s="56"/>
    </row>
    <row r="108" spans="1:18" s="57" customFormat="1" ht="46.5" customHeight="1">
      <c r="A108" s="62"/>
      <c r="B108" s="63" t="s">
        <v>481</v>
      </c>
      <c r="C108" s="130">
        <v>1792.7</v>
      </c>
      <c r="D108" s="108">
        <f>F108</f>
        <v>1792.7</v>
      </c>
      <c r="E108" s="108">
        <v>0</v>
      </c>
      <c r="F108" s="109">
        <v>1792.7</v>
      </c>
      <c r="G108" s="110">
        <v>0</v>
      </c>
      <c r="H108" s="108">
        <f>J108</f>
        <v>867.5</v>
      </c>
      <c r="I108" s="111">
        <v>0</v>
      </c>
      <c r="J108" s="111">
        <v>867.5</v>
      </c>
      <c r="K108" s="111">
        <v>0</v>
      </c>
      <c r="L108" s="108">
        <f>N108</f>
        <v>867.5</v>
      </c>
      <c r="M108" s="111">
        <v>0</v>
      </c>
      <c r="N108" s="111">
        <f>J108</f>
        <v>867.5</v>
      </c>
      <c r="O108" s="110">
        <v>0</v>
      </c>
      <c r="P108" s="100">
        <f>H108/D108</f>
        <v>0.48399999999999999</v>
      </c>
      <c r="Q108" s="129">
        <f>L108/D108</f>
        <v>0.48399999999999999</v>
      </c>
      <c r="R108" s="56"/>
    </row>
    <row r="109" spans="1:18" s="57" customFormat="1" ht="46.5" customHeight="1">
      <c r="A109" s="62"/>
      <c r="B109" s="63" t="s">
        <v>482</v>
      </c>
      <c r="C109" s="130">
        <v>826.6</v>
      </c>
      <c r="D109" s="108">
        <f>F109</f>
        <v>826.6</v>
      </c>
      <c r="E109" s="108">
        <v>0</v>
      </c>
      <c r="F109" s="109">
        <f>C109</f>
        <v>826.6</v>
      </c>
      <c r="G109" s="110">
        <v>0</v>
      </c>
      <c r="H109" s="108">
        <f>J109</f>
        <v>826.6</v>
      </c>
      <c r="I109" s="111">
        <v>0</v>
      </c>
      <c r="J109" s="111">
        <f>F109</f>
        <v>826.6</v>
      </c>
      <c r="K109" s="111">
        <v>0</v>
      </c>
      <c r="L109" s="108">
        <f>N109</f>
        <v>826.6</v>
      </c>
      <c r="M109" s="111">
        <v>0</v>
      </c>
      <c r="N109" s="111">
        <f>J109</f>
        <v>826.6</v>
      </c>
      <c r="O109" s="110">
        <v>0</v>
      </c>
      <c r="P109" s="100">
        <f>H109/D109</f>
        <v>1</v>
      </c>
      <c r="Q109" s="129">
        <f>L109/D109</f>
        <v>1</v>
      </c>
      <c r="R109" s="56"/>
    </row>
    <row r="110" spans="1:18" s="57" customFormat="1" ht="66" customHeight="1">
      <c r="A110" s="62"/>
      <c r="B110" s="63" t="s">
        <v>483</v>
      </c>
      <c r="C110" s="130">
        <v>1954</v>
      </c>
      <c r="D110" s="108">
        <f>F110</f>
        <v>1954</v>
      </c>
      <c r="E110" s="108">
        <v>0</v>
      </c>
      <c r="F110" s="109">
        <v>1954</v>
      </c>
      <c r="G110" s="110">
        <v>0</v>
      </c>
      <c r="H110" s="108">
        <f>J110</f>
        <v>1954</v>
      </c>
      <c r="I110" s="111">
        <v>0</v>
      </c>
      <c r="J110" s="111">
        <f>F110</f>
        <v>1954</v>
      </c>
      <c r="K110" s="111">
        <v>0</v>
      </c>
      <c r="L110" s="108">
        <f>N110</f>
        <v>1954</v>
      </c>
      <c r="M110" s="111">
        <v>0</v>
      </c>
      <c r="N110" s="111">
        <f>J110</f>
        <v>1954</v>
      </c>
      <c r="O110" s="110">
        <v>0</v>
      </c>
      <c r="P110" s="100">
        <f>H110/D110</f>
        <v>1</v>
      </c>
      <c r="Q110" s="129">
        <f>L110/D110</f>
        <v>1</v>
      </c>
      <c r="R110" s="56"/>
    </row>
    <row r="111" spans="1:18" s="57" customFormat="1" ht="56.45" customHeight="1">
      <c r="A111" s="209" t="s">
        <v>222</v>
      </c>
      <c r="B111" s="63" t="s">
        <v>223</v>
      </c>
      <c r="C111" s="130">
        <f>C112+C113+C114+C115+C116+C117+C118+C119+C120+C122+C121-0.1</f>
        <v>9589.7000000000007</v>
      </c>
      <c r="D111" s="130">
        <f>D112+D113+D114+D115+D116+D117+D118+D119+D120+D122+D121-0.1</f>
        <v>9589.7000000000007</v>
      </c>
      <c r="E111" s="130">
        <v>0</v>
      </c>
      <c r="F111" s="130">
        <f>F112+F113+F114+F115+F116+F117+F118+F119+F120+F122+F121-0.1</f>
        <v>9589.7000000000007</v>
      </c>
      <c r="G111" s="130">
        <f t="shared" ref="G111:O111" si="31">G112+G113+G114+G115+G116+G117+G118+G119+G120+G122+G121</f>
        <v>0</v>
      </c>
      <c r="H111" s="130">
        <f t="shared" si="31"/>
        <v>7203.5</v>
      </c>
      <c r="I111" s="130">
        <f t="shared" si="31"/>
        <v>0</v>
      </c>
      <c r="J111" s="130">
        <f t="shared" si="31"/>
        <v>7203.5</v>
      </c>
      <c r="K111" s="130">
        <f t="shared" si="31"/>
        <v>0</v>
      </c>
      <c r="L111" s="130">
        <f t="shared" si="31"/>
        <v>7203.5</v>
      </c>
      <c r="M111" s="130">
        <f t="shared" si="31"/>
        <v>0</v>
      </c>
      <c r="N111" s="130">
        <f t="shared" si="31"/>
        <v>7203.5</v>
      </c>
      <c r="O111" s="130">
        <f t="shared" si="31"/>
        <v>0</v>
      </c>
      <c r="P111" s="100">
        <f>H111/D111</f>
        <v>0.751</v>
      </c>
      <c r="Q111" s="129">
        <f>L111/D111</f>
        <v>0.751</v>
      </c>
      <c r="R111" s="56"/>
    </row>
    <row r="112" spans="1:18" s="57" customFormat="1" ht="31.9" customHeight="1">
      <c r="A112" s="62"/>
      <c r="B112" s="63" t="s">
        <v>224</v>
      </c>
      <c r="C112" s="130">
        <v>498.7</v>
      </c>
      <c r="D112" s="108">
        <f>F112</f>
        <v>498.7</v>
      </c>
      <c r="E112" s="108">
        <v>0</v>
      </c>
      <c r="F112" s="109">
        <v>498.7</v>
      </c>
      <c r="G112" s="110">
        <v>0</v>
      </c>
      <c r="H112" s="108">
        <f>J112</f>
        <v>498.7</v>
      </c>
      <c r="I112" s="111">
        <v>0</v>
      </c>
      <c r="J112" s="111">
        <v>498.7</v>
      </c>
      <c r="K112" s="111">
        <v>0</v>
      </c>
      <c r="L112" s="108">
        <f>N112</f>
        <v>498.7</v>
      </c>
      <c r="M112" s="111">
        <v>0</v>
      </c>
      <c r="N112" s="111">
        <f>J112</f>
        <v>498.7</v>
      </c>
      <c r="O112" s="110">
        <v>0</v>
      </c>
      <c r="P112" s="100">
        <f t="shared" ref="P112:P122" si="32">H112/D112</f>
        <v>1</v>
      </c>
      <c r="Q112" s="129">
        <f t="shared" ref="Q112:Q122" si="33">L112/D112</f>
        <v>1</v>
      </c>
      <c r="R112" s="56"/>
    </row>
    <row r="113" spans="1:18" s="57" customFormat="1" ht="64.5" hidden="1" customHeight="1">
      <c r="A113" s="62"/>
      <c r="B113" s="63" t="s">
        <v>225</v>
      </c>
      <c r="C113" s="130">
        <v>0</v>
      </c>
      <c r="D113" s="108">
        <v>0</v>
      </c>
      <c r="E113" s="108">
        <v>0</v>
      </c>
      <c r="F113" s="109">
        <v>0</v>
      </c>
      <c r="G113" s="110">
        <v>0</v>
      </c>
      <c r="H113" s="108">
        <v>0</v>
      </c>
      <c r="I113" s="111">
        <v>0</v>
      </c>
      <c r="J113" s="111">
        <v>0</v>
      </c>
      <c r="K113" s="111">
        <v>0</v>
      </c>
      <c r="L113" s="108">
        <v>0</v>
      </c>
      <c r="M113" s="111">
        <v>0</v>
      </c>
      <c r="N113" s="111">
        <v>0</v>
      </c>
      <c r="O113" s="110">
        <v>0</v>
      </c>
      <c r="P113" s="100" t="e">
        <f t="shared" si="32"/>
        <v>#DIV/0!</v>
      </c>
      <c r="Q113" s="129" t="e">
        <f t="shared" si="33"/>
        <v>#DIV/0!</v>
      </c>
      <c r="R113" s="56"/>
    </row>
    <row r="114" spans="1:18" s="57" customFormat="1" ht="64.5" hidden="1" customHeight="1">
      <c r="A114" s="62"/>
      <c r="B114" s="63" t="s">
        <v>226</v>
      </c>
      <c r="C114" s="130">
        <v>0</v>
      </c>
      <c r="D114" s="108">
        <v>0</v>
      </c>
      <c r="E114" s="108">
        <v>0</v>
      </c>
      <c r="F114" s="109">
        <v>0</v>
      </c>
      <c r="G114" s="110">
        <v>0</v>
      </c>
      <c r="H114" s="108">
        <v>0</v>
      </c>
      <c r="I114" s="111">
        <v>0</v>
      </c>
      <c r="J114" s="111">
        <v>0</v>
      </c>
      <c r="K114" s="111">
        <v>0</v>
      </c>
      <c r="L114" s="108">
        <v>0</v>
      </c>
      <c r="M114" s="111">
        <v>0</v>
      </c>
      <c r="N114" s="111">
        <v>0</v>
      </c>
      <c r="O114" s="110">
        <v>0</v>
      </c>
      <c r="P114" s="100" t="e">
        <f t="shared" si="32"/>
        <v>#DIV/0!</v>
      </c>
      <c r="Q114" s="129" t="e">
        <f t="shared" si="33"/>
        <v>#DIV/0!</v>
      </c>
      <c r="R114" s="56"/>
    </row>
    <row r="115" spans="1:18" s="57" customFormat="1" ht="48" customHeight="1">
      <c r="A115" s="62"/>
      <c r="B115" s="63" t="s">
        <v>227</v>
      </c>
      <c r="C115" s="130">
        <v>449.1</v>
      </c>
      <c r="D115" s="108">
        <f t="shared" ref="D115:D122" si="34">F115</f>
        <v>449.1</v>
      </c>
      <c r="E115" s="108">
        <v>0</v>
      </c>
      <c r="F115" s="109">
        <f>C115</f>
        <v>449.1</v>
      </c>
      <c r="G115" s="110">
        <v>0</v>
      </c>
      <c r="H115" s="108">
        <f t="shared" ref="H115:H121" si="35">J115</f>
        <v>449.1</v>
      </c>
      <c r="I115" s="111">
        <v>0</v>
      </c>
      <c r="J115" s="111">
        <v>449.1</v>
      </c>
      <c r="K115" s="111">
        <v>0</v>
      </c>
      <c r="L115" s="108">
        <f t="shared" ref="L115:L121" si="36">N115</f>
        <v>449.1</v>
      </c>
      <c r="M115" s="111">
        <v>0</v>
      </c>
      <c r="N115" s="111">
        <f>J115</f>
        <v>449.1</v>
      </c>
      <c r="O115" s="110">
        <v>0</v>
      </c>
      <c r="P115" s="100">
        <f t="shared" si="32"/>
        <v>1</v>
      </c>
      <c r="Q115" s="129">
        <f t="shared" si="33"/>
        <v>1</v>
      </c>
      <c r="R115" s="56"/>
    </row>
    <row r="116" spans="1:18" s="57" customFormat="1" ht="64.5" customHeight="1">
      <c r="A116" s="62"/>
      <c r="B116" s="63" t="s">
        <v>228</v>
      </c>
      <c r="C116" s="130">
        <v>64.900000000000006</v>
      </c>
      <c r="D116" s="108">
        <f t="shared" si="34"/>
        <v>64.900000000000006</v>
      </c>
      <c r="E116" s="108">
        <v>0</v>
      </c>
      <c r="F116" s="109">
        <v>64.900000000000006</v>
      </c>
      <c r="G116" s="110">
        <v>0</v>
      </c>
      <c r="H116" s="108">
        <f t="shared" si="35"/>
        <v>64.900000000000006</v>
      </c>
      <c r="I116" s="111">
        <v>0</v>
      </c>
      <c r="J116" s="111">
        <v>64.900000000000006</v>
      </c>
      <c r="K116" s="111">
        <v>0</v>
      </c>
      <c r="L116" s="108">
        <f t="shared" si="36"/>
        <v>64.900000000000006</v>
      </c>
      <c r="M116" s="111">
        <v>0</v>
      </c>
      <c r="N116" s="111">
        <v>64.900000000000006</v>
      </c>
      <c r="O116" s="110">
        <v>0</v>
      </c>
      <c r="P116" s="100">
        <f t="shared" si="32"/>
        <v>1</v>
      </c>
      <c r="Q116" s="129">
        <f t="shared" si="33"/>
        <v>1</v>
      </c>
      <c r="R116" s="56"/>
    </row>
    <row r="117" spans="1:18" s="57" customFormat="1" ht="55.15" customHeight="1">
      <c r="A117" s="62"/>
      <c r="B117" s="63" t="s">
        <v>229</v>
      </c>
      <c r="C117" s="130">
        <v>526.79999999999995</v>
      </c>
      <c r="D117" s="108">
        <f t="shared" si="34"/>
        <v>526.79999999999995</v>
      </c>
      <c r="E117" s="108">
        <v>0</v>
      </c>
      <c r="F117" s="109">
        <v>526.79999999999995</v>
      </c>
      <c r="G117" s="110">
        <v>0</v>
      </c>
      <c r="H117" s="108">
        <f t="shared" si="35"/>
        <v>526.70000000000005</v>
      </c>
      <c r="I117" s="111">
        <v>0</v>
      </c>
      <c r="J117" s="111">
        <v>526.70000000000005</v>
      </c>
      <c r="K117" s="111">
        <v>0</v>
      </c>
      <c r="L117" s="108">
        <f t="shared" si="36"/>
        <v>526.70000000000005</v>
      </c>
      <c r="M117" s="111">
        <v>0</v>
      </c>
      <c r="N117" s="111">
        <f t="shared" ref="N117:N122" si="37">J117</f>
        <v>526.70000000000005</v>
      </c>
      <c r="O117" s="110">
        <v>0</v>
      </c>
      <c r="P117" s="100">
        <f t="shared" si="32"/>
        <v>1</v>
      </c>
      <c r="Q117" s="129">
        <f t="shared" si="33"/>
        <v>1</v>
      </c>
      <c r="R117" s="56"/>
    </row>
    <row r="118" spans="1:18" s="57" customFormat="1" ht="58.15" customHeight="1">
      <c r="A118" s="62"/>
      <c r="B118" s="63" t="s">
        <v>230</v>
      </c>
      <c r="C118" s="130">
        <v>1100</v>
      </c>
      <c r="D118" s="108">
        <f t="shared" si="34"/>
        <v>1100</v>
      </c>
      <c r="E118" s="108">
        <v>0</v>
      </c>
      <c r="F118" s="109">
        <v>1100</v>
      </c>
      <c r="G118" s="110">
        <v>0</v>
      </c>
      <c r="H118" s="108">
        <f t="shared" si="35"/>
        <v>1100</v>
      </c>
      <c r="I118" s="111">
        <v>0</v>
      </c>
      <c r="J118" s="111">
        <v>1100</v>
      </c>
      <c r="K118" s="111">
        <v>0</v>
      </c>
      <c r="L118" s="108">
        <f t="shared" si="36"/>
        <v>1100</v>
      </c>
      <c r="M118" s="111">
        <v>0</v>
      </c>
      <c r="N118" s="111">
        <f t="shared" si="37"/>
        <v>1100</v>
      </c>
      <c r="O118" s="110">
        <v>0</v>
      </c>
      <c r="P118" s="100">
        <f t="shared" si="32"/>
        <v>1</v>
      </c>
      <c r="Q118" s="129">
        <f t="shared" si="33"/>
        <v>1</v>
      </c>
      <c r="R118" s="56"/>
    </row>
    <row r="119" spans="1:18" s="57" customFormat="1" ht="79.5" customHeight="1">
      <c r="A119" s="62"/>
      <c r="B119" s="63" t="s">
        <v>231</v>
      </c>
      <c r="C119" s="130">
        <v>290</v>
      </c>
      <c r="D119" s="108">
        <f t="shared" si="34"/>
        <v>290</v>
      </c>
      <c r="E119" s="108">
        <v>0</v>
      </c>
      <c r="F119" s="109">
        <v>290</v>
      </c>
      <c r="G119" s="110">
        <v>0</v>
      </c>
      <c r="H119" s="108">
        <f t="shared" si="35"/>
        <v>290</v>
      </c>
      <c r="I119" s="111">
        <v>0</v>
      </c>
      <c r="J119" s="111">
        <v>290</v>
      </c>
      <c r="K119" s="111">
        <v>0</v>
      </c>
      <c r="L119" s="108">
        <f t="shared" si="36"/>
        <v>290</v>
      </c>
      <c r="M119" s="111">
        <v>0</v>
      </c>
      <c r="N119" s="111">
        <f t="shared" si="37"/>
        <v>290</v>
      </c>
      <c r="O119" s="110">
        <v>0</v>
      </c>
      <c r="P119" s="100">
        <f t="shared" si="32"/>
        <v>1</v>
      </c>
      <c r="Q119" s="129">
        <f t="shared" si="33"/>
        <v>1</v>
      </c>
      <c r="R119" s="56"/>
    </row>
    <row r="120" spans="1:18" s="57" customFormat="1" ht="64.5" customHeight="1">
      <c r="A120" s="62"/>
      <c r="B120" s="63" t="s">
        <v>232</v>
      </c>
      <c r="C120" s="130">
        <v>1077.9000000000001</v>
      </c>
      <c r="D120" s="108">
        <f t="shared" si="34"/>
        <v>1077.9000000000001</v>
      </c>
      <c r="E120" s="108">
        <v>0</v>
      </c>
      <c r="F120" s="109">
        <v>1077.9000000000001</v>
      </c>
      <c r="G120" s="110">
        <v>0</v>
      </c>
      <c r="H120" s="108">
        <f t="shared" si="35"/>
        <v>1077.9000000000001</v>
      </c>
      <c r="I120" s="111">
        <v>0</v>
      </c>
      <c r="J120" s="111">
        <v>1077.9000000000001</v>
      </c>
      <c r="K120" s="111">
        <v>0</v>
      </c>
      <c r="L120" s="108">
        <f t="shared" si="36"/>
        <v>1077.9000000000001</v>
      </c>
      <c r="M120" s="111">
        <v>0</v>
      </c>
      <c r="N120" s="111">
        <f t="shared" si="37"/>
        <v>1077.9000000000001</v>
      </c>
      <c r="O120" s="110">
        <v>0</v>
      </c>
      <c r="P120" s="100">
        <f t="shared" si="32"/>
        <v>1</v>
      </c>
      <c r="Q120" s="129">
        <f t="shared" si="33"/>
        <v>1</v>
      </c>
      <c r="R120" s="56"/>
    </row>
    <row r="121" spans="1:18" s="57" customFormat="1" ht="64.5" customHeight="1">
      <c r="A121" s="62"/>
      <c r="B121" s="63" t="s">
        <v>416</v>
      </c>
      <c r="C121" s="130">
        <v>1277.4000000000001</v>
      </c>
      <c r="D121" s="108">
        <f t="shared" si="34"/>
        <v>1277.4000000000001</v>
      </c>
      <c r="E121" s="108">
        <v>0</v>
      </c>
      <c r="F121" s="109">
        <f>C121</f>
        <v>1277.4000000000001</v>
      </c>
      <c r="G121" s="110">
        <v>0</v>
      </c>
      <c r="H121" s="108">
        <f t="shared" si="35"/>
        <v>1277.4000000000001</v>
      </c>
      <c r="I121" s="111">
        <v>0</v>
      </c>
      <c r="J121" s="111">
        <v>1277.4000000000001</v>
      </c>
      <c r="K121" s="111">
        <v>0</v>
      </c>
      <c r="L121" s="108">
        <f t="shared" si="36"/>
        <v>1277.4000000000001</v>
      </c>
      <c r="M121" s="111">
        <v>0</v>
      </c>
      <c r="N121" s="111">
        <f t="shared" si="37"/>
        <v>1277.4000000000001</v>
      </c>
      <c r="O121" s="110">
        <v>0</v>
      </c>
      <c r="P121" s="100">
        <f t="shared" si="32"/>
        <v>1</v>
      </c>
      <c r="Q121" s="129">
        <f t="shared" si="33"/>
        <v>1</v>
      </c>
      <c r="R121" s="56"/>
    </row>
    <row r="122" spans="1:18" s="57" customFormat="1" ht="39" customHeight="1">
      <c r="A122" s="62"/>
      <c r="B122" s="63" t="s">
        <v>233</v>
      </c>
      <c r="C122" s="130">
        <v>4305</v>
      </c>
      <c r="D122" s="108">
        <f t="shared" si="34"/>
        <v>4305</v>
      </c>
      <c r="E122" s="108">
        <v>0</v>
      </c>
      <c r="F122" s="109">
        <f>C122</f>
        <v>4305</v>
      </c>
      <c r="G122" s="110">
        <v>0</v>
      </c>
      <c r="H122" s="108">
        <f>J122</f>
        <v>1918.8</v>
      </c>
      <c r="I122" s="111">
        <v>0</v>
      </c>
      <c r="J122" s="111">
        <v>1918.8</v>
      </c>
      <c r="K122" s="111">
        <v>0</v>
      </c>
      <c r="L122" s="108">
        <f>N122</f>
        <v>1918.8</v>
      </c>
      <c r="M122" s="111">
        <v>0</v>
      </c>
      <c r="N122" s="111">
        <f t="shared" si="37"/>
        <v>1918.8</v>
      </c>
      <c r="O122" s="110">
        <v>0</v>
      </c>
      <c r="P122" s="100">
        <f t="shared" si="32"/>
        <v>0.44600000000000001</v>
      </c>
      <c r="Q122" s="129">
        <f t="shared" si="33"/>
        <v>0.44600000000000001</v>
      </c>
      <c r="R122" s="56"/>
    </row>
    <row r="123" spans="1:18" s="57" customFormat="1" ht="64.5" hidden="1" customHeight="1">
      <c r="A123" s="62"/>
      <c r="B123" s="112" t="s">
        <v>234</v>
      </c>
      <c r="C123" s="130">
        <v>0</v>
      </c>
      <c r="D123" s="108">
        <v>0</v>
      </c>
      <c r="E123" s="108">
        <v>0</v>
      </c>
      <c r="F123" s="109">
        <v>0</v>
      </c>
      <c r="G123" s="110">
        <v>0</v>
      </c>
      <c r="H123" s="108">
        <v>0</v>
      </c>
      <c r="I123" s="111">
        <v>0</v>
      </c>
      <c r="J123" s="111">
        <v>0</v>
      </c>
      <c r="K123" s="111">
        <v>0</v>
      </c>
      <c r="L123" s="108">
        <v>0</v>
      </c>
      <c r="M123" s="111">
        <v>0</v>
      </c>
      <c r="N123" s="111">
        <v>0</v>
      </c>
      <c r="O123" s="110">
        <v>0</v>
      </c>
      <c r="P123" s="100">
        <v>0</v>
      </c>
      <c r="Q123" s="129">
        <v>0</v>
      </c>
      <c r="R123" s="56"/>
    </row>
    <row r="124" spans="1:18" s="57" customFormat="1" ht="124.5" customHeight="1">
      <c r="A124" s="62" t="s">
        <v>235</v>
      </c>
      <c r="B124" s="112" t="s">
        <v>420</v>
      </c>
      <c r="C124" s="130">
        <v>872.2</v>
      </c>
      <c r="D124" s="108">
        <f>E124</f>
        <v>872.2</v>
      </c>
      <c r="E124" s="108">
        <f>E126</f>
        <v>872.2</v>
      </c>
      <c r="F124" s="109">
        <v>0</v>
      </c>
      <c r="G124" s="110">
        <v>0</v>
      </c>
      <c r="H124" s="108">
        <f>I124</f>
        <v>818.6</v>
      </c>
      <c r="I124" s="111">
        <f>I126</f>
        <v>818.6</v>
      </c>
      <c r="J124" s="111">
        <v>0</v>
      </c>
      <c r="K124" s="111">
        <v>0</v>
      </c>
      <c r="L124" s="108">
        <f>M124</f>
        <v>818.6</v>
      </c>
      <c r="M124" s="111">
        <f>M126</f>
        <v>818.6</v>
      </c>
      <c r="N124" s="111">
        <v>0</v>
      </c>
      <c r="O124" s="110">
        <v>0</v>
      </c>
      <c r="P124" s="100">
        <f>H124/D124</f>
        <v>0.93899999999999995</v>
      </c>
      <c r="Q124" s="129">
        <f>L124/D124</f>
        <v>0.93899999999999995</v>
      </c>
      <c r="R124" s="56"/>
    </row>
    <row r="125" spans="1:18" s="57" customFormat="1" ht="76.5" customHeight="1">
      <c r="A125" s="62" t="s">
        <v>418</v>
      </c>
      <c r="B125" s="112" t="s">
        <v>422</v>
      </c>
      <c r="C125" s="130">
        <v>8.8000000000000007</v>
      </c>
      <c r="D125" s="108">
        <f>F125</f>
        <v>8.8000000000000007</v>
      </c>
      <c r="E125" s="108">
        <v>0</v>
      </c>
      <c r="F125" s="109">
        <f>F126</f>
        <v>8.8000000000000007</v>
      </c>
      <c r="G125" s="110">
        <v>0</v>
      </c>
      <c r="H125" s="108">
        <f>J125</f>
        <v>8.3000000000000007</v>
      </c>
      <c r="I125" s="111">
        <v>0</v>
      </c>
      <c r="J125" s="111">
        <f>J126</f>
        <v>8.3000000000000007</v>
      </c>
      <c r="K125" s="111">
        <v>0</v>
      </c>
      <c r="L125" s="108">
        <f>N125</f>
        <v>8.3000000000000007</v>
      </c>
      <c r="M125" s="111">
        <v>0</v>
      </c>
      <c r="N125" s="111">
        <f>N126</f>
        <v>8.3000000000000007</v>
      </c>
      <c r="O125" s="110">
        <v>0</v>
      </c>
      <c r="P125" s="100">
        <f>H125/D125</f>
        <v>0.94299999999999995</v>
      </c>
      <c r="Q125" s="129">
        <f>L125/D125</f>
        <v>0.94299999999999995</v>
      </c>
      <c r="R125" s="56"/>
    </row>
    <row r="126" spans="1:18" s="57" customFormat="1" ht="41.45" customHeight="1">
      <c r="A126" s="62"/>
      <c r="B126" s="112" t="s">
        <v>423</v>
      </c>
      <c r="C126" s="130">
        <v>881</v>
      </c>
      <c r="D126" s="108">
        <f>E126+F126</f>
        <v>881</v>
      </c>
      <c r="E126" s="108">
        <v>872.2</v>
      </c>
      <c r="F126" s="109">
        <v>8.8000000000000007</v>
      </c>
      <c r="G126" s="110">
        <v>0</v>
      </c>
      <c r="H126" s="108">
        <f>I126+J126</f>
        <v>826.9</v>
      </c>
      <c r="I126" s="111">
        <v>818.6</v>
      </c>
      <c r="J126" s="111">
        <v>8.3000000000000007</v>
      </c>
      <c r="K126" s="111">
        <v>0</v>
      </c>
      <c r="L126" s="108">
        <f>M126+N126</f>
        <v>826.9</v>
      </c>
      <c r="M126" s="111">
        <f>I126</f>
        <v>818.6</v>
      </c>
      <c r="N126" s="111">
        <f>J126</f>
        <v>8.3000000000000007</v>
      </c>
      <c r="O126" s="110">
        <v>0</v>
      </c>
      <c r="P126" s="100">
        <f>H126/D126</f>
        <v>0.93899999999999995</v>
      </c>
      <c r="Q126" s="129">
        <f>L126/D126</f>
        <v>0.93899999999999995</v>
      </c>
      <c r="R126" s="56"/>
    </row>
    <row r="127" spans="1:18" s="57" customFormat="1" ht="64.5" hidden="1" customHeight="1">
      <c r="A127" s="62"/>
      <c r="B127" s="112" t="s">
        <v>484</v>
      </c>
      <c r="C127" s="130">
        <v>0</v>
      </c>
      <c r="D127" s="108">
        <v>0</v>
      </c>
      <c r="E127" s="108">
        <v>0</v>
      </c>
      <c r="F127" s="109">
        <v>0</v>
      </c>
      <c r="G127" s="110">
        <v>0</v>
      </c>
      <c r="H127" s="108">
        <v>0</v>
      </c>
      <c r="I127" s="111">
        <v>0</v>
      </c>
      <c r="J127" s="111">
        <v>0</v>
      </c>
      <c r="K127" s="111">
        <v>0</v>
      </c>
      <c r="L127" s="108">
        <v>0</v>
      </c>
      <c r="M127" s="111">
        <v>0</v>
      </c>
      <c r="N127" s="111">
        <v>0</v>
      </c>
      <c r="O127" s="110">
        <v>0</v>
      </c>
      <c r="P127" s="100">
        <v>0</v>
      </c>
      <c r="Q127" s="129">
        <v>0</v>
      </c>
      <c r="R127" s="56"/>
    </row>
    <row r="128" spans="1:18" s="57" customFormat="1" ht="76.150000000000006" customHeight="1">
      <c r="A128" s="62" t="s">
        <v>419</v>
      </c>
      <c r="B128" s="112" t="s">
        <v>485</v>
      </c>
      <c r="C128" s="130">
        <v>79698.3</v>
      </c>
      <c r="D128" s="108">
        <f>E128</f>
        <v>79698.3</v>
      </c>
      <c r="E128" s="108">
        <f>C128</f>
        <v>79698.3</v>
      </c>
      <c r="F128" s="109">
        <v>0</v>
      </c>
      <c r="G128" s="110">
        <v>0</v>
      </c>
      <c r="H128" s="108">
        <f>I128</f>
        <v>79600</v>
      </c>
      <c r="I128" s="111">
        <f>I130+I131</f>
        <v>79600</v>
      </c>
      <c r="J128" s="111">
        <v>0</v>
      </c>
      <c r="K128" s="111">
        <v>0</v>
      </c>
      <c r="L128" s="108">
        <f>M128</f>
        <v>79600</v>
      </c>
      <c r="M128" s="111">
        <f>I128</f>
        <v>79600</v>
      </c>
      <c r="N128" s="111">
        <v>0</v>
      </c>
      <c r="O128" s="110">
        <v>0</v>
      </c>
      <c r="P128" s="100">
        <f t="shared" ref="P128:P136" si="38">H128/D128</f>
        <v>0.999</v>
      </c>
      <c r="Q128" s="129">
        <f t="shared" ref="Q128:Q136" si="39">L128/D128</f>
        <v>0.999</v>
      </c>
      <c r="R128" s="56"/>
    </row>
    <row r="129" spans="1:18" s="57" customFormat="1" ht="64.5" customHeight="1">
      <c r="A129" s="62" t="s">
        <v>421</v>
      </c>
      <c r="B129" s="112" t="s">
        <v>486</v>
      </c>
      <c r="C129" s="130">
        <v>805.1</v>
      </c>
      <c r="D129" s="108">
        <f t="shared" ref="D129:D136" si="40">E129+F129</f>
        <v>805.1</v>
      </c>
      <c r="E129" s="108">
        <v>0</v>
      </c>
      <c r="F129" s="109">
        <f>C129</f>
        <v>805.1</v>
      </c>
      <c r="G129" s="110">
        <v>0</v>
      </c>
      <c r="H129" s="108">
        <f>J130+J131</f>
        <v>804</v>
      </c>
      <c r="I129" s="111">
        <v>0</v>
      </c>
      <c r="J129" s="111">
        <f>H129</f>
        <v>804</v>
      </c>
      <c r="K129" s="111">
        <v>0</v>
      </c>
      <c r="L129" s="108">
        <f>N129</f>
        <v>804</v>
      </c>
      <c r="M129" s="111">
        <v>0</v>
      </c>
      <c r="N129" s="111">
        <f>J129</f>
        <v>804</v>
      </c>
      <c r="O129" s="110">
        <v>0</v>
      </c>
      <c r="P129" s="100">
        <f t="shared" si="38"/>
        <v>0.999</v>
      </c>
      <c r="Q129" s="129">
        <f t="shared" si="39"/>
        <v>0.999</v>
      </c>
      <c r="R129" s="56"/>
    </row>
    <row r="130" spans="1:18" s="57" customFormat="1" ht="64.5" customHeight="1">
      <c r="A130" s="62"/>
      <c r="B130" s="112" t="s">
        <v>487</v>
      </c>
      <c r="C130" s="130">
        <v>55058.1</v>
      </c>
      <c r="D130" s="108">
        <f t="shared" si="40"/>
        <v>55058.1</v>
      </c>
      <c r="E130" s="108">
        <v>54507.5</v>
      </c>
      <c r="F130" s="109">
        <v>550.6</v>
      </c>
      <c r="G130" s="110">
        <v>0</v>
      </c>
      <c r="H130" s="108">
        <f>I130+J130</f>
        <v>54973.1</v>
      </c>
      <c r="I130" s="111">
        <v>54423.4</v>
      </c>
      <c r="J130" s="111">
        <v>549.70000000000005</v>
      </c>
      <c r="K130" s="111">
        <v>0</v>
      </c>
      <c r="L130" s="108">
        <f>M130+N130</f>
        <v>54973.1</v>
      </c>
      <c r="M130" s="111">
        <f>I130</f>
        <v>54423.4</v>
      </c>
      <c r="N130" s="111">
        <f>J130</f>
        <v>549.70000000000005</v>
      </c>
      <c r="O130" s="110">
        <v>0</v>
      </c>
      <c r="P130" s="100">
        <f t="shared" si="38"/>
        <v>0.998</v>
      </c>
      <c r="Q130" s="129">
        <f t="shared" si="39"/>
        <v>0.998</v>
      </c>
      <c r="R130" s="56"/>
    </row>
    <row r="131" spans="1:18" s="57" customFormat="1" ht="64.5" customHeight="1">
      <c r="A131" s="62"/>
      <c r="B131" s="112" t="s">
        <v>488</v>
      </c>
      <c r="C131" s="130">
        <v>25445.3</v>
      </c>
      <c r="D131" s="108">
        <f t="shared" si="40"/>
        <v>25445.3</v>
      </c>
      <c r="E131" s="108">
        <v>25190.799999999999</v>
      </c>
      <c r="F131" s="109">
        <v>254.5</v>
      </c>
      <c r="G131" s="110">
        <v>0</v>
      </c>
      <c r="H131" s="108">
        <f>I131+J131</f>
        <v>25430.9</v>
      </c>
      <c r="I131" s="111">
        <v>25176.6</v>
      </c>
      <c r="J131" s="111">
        <v>254.3</v>
      </c>
      <c r="K131" s="111">
        <v>0</v>
      </c>
      <c r="L131" s="108">
        <f>H131</f>
        <v>25430.9</v>
      </c>
      <c r="M131" s="108">
        <f>I131</f>
        <v>25176.6</v>
      </c>
      <c r="N131" s="108">
        <f>J131</f>
        <v>254.3</v>
      </c>
      <c r="O131" s="108">
        <f>K131</f>
        <v>0</v>
      </c>
      <c r="P131" s="100">
        <f t="shared" si="38"/>
        <v>0.999</v>
      </c>
      <c r="Q131" s="129">
        <f t="shared" si="39"/>
        <v>0.999</v>
      </c>
      <c r="R131" s="56"/>
    </row>
    <row r="132" spans="1:18" s="57" customFormat="1" ht="37.15" customHeight="1">
      <c r="A132" s="74" t="s">
        <v>236</v>
      </c>
      <c r="B132" s="113" t="s">
        <v>554</v>
      </c>
      <c r="C132" s="131">
        <f>C133+C134</f>
        <v>71103</v>
      </c>
      <c r="D132" s="103">
        <f t="shared" si="40"/>
        <v>71103</v>
      </c>
      <c r="E132" s="103">
        <f>E133</f>
        <v>70391.899999999994</v>
      </c>
      <c r="F132" s="104">
        <f>F134</f>
        <v>711.1</v>
      </c>
      <c r="G132" s="105">
        <v>0</v>
      </c>
      <c r="H132" s="103">
        <f>H133+H134</f>
        <v>66505.100000000006</v>
      </c>
      <c r="I132" s="103">
        <f t="shared" ref="I132:O132" si="41">I133+I134</f>
        <v>65840</v>
      </c>
      <c r="J132" s="103">
        <f t="shared" si="41"/>
        <v>665.1</v>
      </c>
      <c r="K132" s="103">
        <f t="shared" si="41"/>
        <v>0</v>
      </c>
      <c r="L132" s="103">
        <f t="shared" si="41"/>
        <v>66505.100000000006</v>
      </c>
      <c r="M132" s="103">
        <f t="shared" si="41"/>
        <v>65840</v>
      </c>
      <c r="N132" s="103">
        <f t="shared" si="41"/>
        <v>665.1</v>
      </c>
      <c r="O132" s="103">
        <f t="shared" si="41"/>
        <v>0</v>
      </c>
      <c r="P132" s="97">
        <f t="shared" si="38"/>
        <v>0.93500000000000005</v>
      </c>
      <c r="Q132" s="126">
        <f t="shared" si="39"/>
        <v>0.93500000000000005</v>
      </c>
      <c r="R132" s="56"/>
    </row>
    <row r="133" spans="1:18" s="57" customFormat="1" ht="64.5" customHeight="1">
      <c r="A133" s="62" t="s">
        <v>555</v>
      </c>
      <c r="B133" s="112" t="s">
        <v>417</v>
      </c>
      <c r="C133" s="130">
        <v>70391.899999999994</v>
      </c>
      <c r="D133" s="108">
        <f t="shared" si="40"/>
        <v>70391.899999999994</v>
      </c>
      <c r="E133" s="108">
        <v>70391.899999999994</v>
      </c>
      <c r="F133" s="109">
        <v>0</v>
      </c>
      <c r="G133" s="110">
        <v>0</v>
      </c>
      <c r="H133" s="108">
        <f>I133</f>
        <v>65840</v>
      </c>
      <c r="I133" s="111">
        <f>I135+I136</f>
        <v>65840</v>
      </c>
      <c r="J133" s="111">
        <v>0</v>
      </c>
      <c r="K133" s="111">
        <v>0</v>
      </c>
      <c r="L133" s="108">
        <f>M133</f>
        <v>65840</v>
      </c>
      <c r="M133" s="111">
        <f t="shared" ref="M133:N136" si="42">I133</f>
        <v>65840</v>
      </c>
      <c r="N133" s="111">
        <f t="shared" si="42"/>
        <v>0</v>
      </c>
      <c r="O133" s="110">
        <v>0</v>
      </c>
      <c r="P133" s="100">
        <f t="shared" si="38"/>
        <v>0.93500000000000005</v>
      </c>
      <c r="Q133" s="129">
        <f t="shared" si="39"/>
        <v>0.93500000000000005</v>
      </c>
      <c r="R133" s="56"/>
    </row>
    <row r="134" spans="1:18" s="57" customFormat="1" ht="55.15" customHeight="1">
      <c r="A134" s="62" t="s">
        <v>556</v>
      </c>
      <c r="B134" s="112" t="s">
        <v>557</v>
      </c>
      <c r="C134" s="130">
        <v>711.1</v>
      </c>
      <c r="D134" s="108">
        <f t="shared" si="40"/>
        <v>711.1</v>
      </c>
      <c r="E134" s="108">
        <v>0</v>
      </c>
      <c r="F134" s="109">
        <f>C134</f>
        <v>711.1</v>
      </c>
      <c r="G134" s="110">
        <v>0</v>
      </c>
      <c r="H134" s="108">
        <f>I134+J134</f>
        <v>665.1</v>
      </c>
      <c r="I134" s="111">
        <v>0</v>
      </c>
      <c r="J134" s="111">
        <f>J135+J136</f>
        <v>665.1</v>
      </c>
      <c r="K134" s="111">
        <v>0</v>
      </c>
      <c r="L134" s="108">
        <f>M134+N134</f>
        <v>665.1</v>
      </c>
      <c r="M134" s="111">
        <f t="shared" si="42"/>
        <v>0</v>
      </c>
      <c r="N134" s="111">
        <f t="shared" si="42"/>
        <v>665.1</v>
      </c>
      <c r="O134" s="110">
        <v>0</v>
      </c>
      <c r="P134" s="100">
        <f t="shared" si="38"/>
        <v>0.93500000000000005</v>
      </c>
      <c r="Q134" s="129">
        <f t="shared" si="39"/>
        <v>0.93500000000000005</v>
      </c>
      <c r="R134" s="56"/>
    </row>
    <row r="135" spans="1:18" s="57" customFormat="1" ht="49.15" customHeight="1">
      <c r="A135" s="62"/>
      <c r="B135" s="112" t="s">
        <v>558</v>
      </c>
      <c r="C135" s="130">
        <v>50505.1</v>
      </c>
      <c r="D135" s="108">
        <f t="shared" si="40"/>
        <v>50505.1</v>
      </c>
      <c r="E135" s="108">
        <v>50000</v>
      </c>
      <c r="F135" s="109">
        <v>505.1</v>
      </c>
      <c r="G135" s="110">
        <v>0</v>
      </c>
      <c r="H135" s="108">
        <f>I135+J135</f>
        <v>50505.1</v>
      </c>
      <c r="I135" s="111">
        <v>50000</v>
      </c>
      <c r="J135" s="111">
        <v>505.1</v>
      </c>
      <c r="K135" s="111">
        <v>0</v>
      </c>
      <c r="L135" s="108">
        <f>H135</f>
        <v>50505.1</v>
      </c>
      <c r="M135" s="111">
        <f t="shared" si="42"/>
        <v>50000</v>
      </c>
      <c r="N135" s="111">
        <f t="shared" si="42"/>
        <v>505.1</v>
      </c>
      <c r="O135" s="110">
        <v>0</v>
      </c>
      <c r="P135" s="100">
        <f t="shared" si="38"/>
        <v>1</v>
      </c>
      <c r="Q135" s="129">
        <f t="shared" si="39"/>
        <v>1</v>
      </c>
      <c r="R135" s="56"/>
    </row>
    <row r="136" spans="1:18" s="57" customFormat="1" ht="43.15" customHeight="1">
      <c r="A136" s="62"/>
      <c r="B136" s="112" t="s">
        <v>559</v>
      </c>
      <c r="C136" s="130">
        <v>20597.900000000001</v>
      </c>
      <c r="D136" s="108">
        <f t="shared" si="40"/>
        <v>20597.900000000001</v>
      </c>
      <c r="E136" s="108">
        <v>20391.900000000001</v>
      </c>
      <c r="F136" s="109">
        <v>206</v>
      </c>
      <c r="G136" s="110">
        <v>0</v>
      </c>
      <c r="H136" s="108">
        <f>I136+J136</f>
        <v>16000</v>
      </c>
      <c r="I136" s="111">
        <v>15840</v>
      </c>
      <c r="J136" s="111">
        <v>160</v>
      </c>
      <c r="K136" s="111">
        <v>0</v>
      </c>
      <c r="L136" s="108">
        <f>H136</f>
        <v>16000</v>
      </c>
      <c r="M136" s="111">
        <f t="shared" si="42"/>
        <v>15840</v>
      </c>
      <c r="N136" s="111">
        <f t="shared" si="42"/>
        <v>160</v>
      </c>
      <c r="O136" s="110">
        <v>0</v>
      </c>
      <c r="P136" s="100">
        <f t="shared" si="38"/>
        <v>0.77700000000000002</v>
      </c>
      <c r="Q136" s="129">
        <f t="shared" si="39"/>
        <v>0.77700000000000002</v>
      </c>
      <c r="R136" s="56"/>
    </row>
    <row r="137" spans="1:18" s="57" customFormat="1" ht="27" hidden="1" customHeight="1">
      <c r="A137" s="74" t="s">
        <v>236</v>
      </c>
      <c r="B137" s="113" t="s">
        <v>237</v>
      </c>
      <c r="C137" s="131">
        <v>0</v>
      </c>
      <c r="D137" s="103">
        <v>0</v>
      </c>
      <c r="E137" s="103">
        <v>0</v>
      </c>
      <c r="F137" s="104">
        <v>0</v>
      </c>
      <c r="G137" s="105">
        <v>0</v>
      </c>
      <c r="H137" s="103">
        <v>0</v>
      </c>
      <c r="I137" s="106">
        <v>0</v>
      </c>
      <c r="J137" s="106">
        <v>0</v>
      </c>
      <c r="K137" s="106">
        <v>0</v>
      </c>
      <c r="L137" s="103">
        <v>0</v>
      </c>
      <c r="M137" s="106">
        <v>0</v>
      </c>
      <c r="N137" s="106">
        <v>0</v>
      </c>
      <c r="O137" s="105">
        <v>0</v>
      </c>
      <c r="P137" s="97">
        <v>0</v>
      </c>
      <c r="Q137" s="126">
        <v>0</v>
      </c>
      <c r="R137" s="56"/>
    </row>
    <row r="138" spans="1:18" s="57" customFormat="1" ht="34.5" customHeight="1">
      <c r="A138" s="74"/>
      <c r="B138" s="115" t="s">
        <v>238</v>
      </c>
      <c r="C138" s="131">
        <f>C99+C96+C94+C132</f>
        <v>277973.09999999998</v>
      </c>
      <c r="D138" s="131">
        <f>D99+D96+D94+D132</f>
        <v>277973.09999999998</v>
      </c>
      <c r="E138" s="131">
        <f>E99+E96+E94+E132</f>
        <v>150962.4</v>
      </c>
      <c r="F138" s="131">
        <f>F99+F96+F94+F132</f>
        <v>127010.7</v>
      </c>
      <c r="G138" s="131">
        <v>0</v>
      </c>
      <c r="H138" s="131">
        <f>H99+H96+H94+H132</f>
        <v>268886.8</v>
      </c>
      <c r="I138" s="131">
        <f>I99+I96+I94+I132</f>
        <v>146258.6</v>
      </c>
      <c r="J138" s="131">
        <f>J99+J96+J94+J132</f>
        <v>122628.2</v>
      </c>
      <c r="K138" s="131">
        <v>0</v>
      </c>
      <c r="L138" s="131">
        <f>L99+L96+L94+L132</f>
        <v>268886.8</v>
      </c>
      <c r="M138" s="131">
        <f>M99+M96+M94+M132</f>
        <v>146258.6</v>
      </c>
      <c r="N138" s="131">
        <f>N99+N96+N94+N132</f>
        <v>122628.2</v>
      </c>
      <c r="O138" s="131">
        <v>0</v>
      </c>
      <c r="P138" s="97">
        <f>H138/D138</f>
        <v>0.96699999999999997</v>
      </c>
      <c r="Q138" s="126">
        <f>L138/D138</f>
        <v>0.96699999999999997</v>
      </c>
      <c r="R138" s="56"/>
    </row>
    <row r="139" spans="1:18" s="57" customFormat="1" ht="64.5" customHeight="1">
      <c r="A139" s="74"/>
      <c r="B139" s="289" t="s">
        <v>239</v>
      </c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1"/>
      <c r="R139" s="56"/>
    </row>
    <row r="140" spans="1:18" s="57" customFormat="1" ht="70.900000000000006" customHeight="1">
      <c r="A140" s="74" t="s">
        <v>240</v>
      </c>
      <c r="B140" s="113" t="s">
        <v>241</v>
      </c>
      <c r="C140" s="132">
        <f>C143</f>
        <v>34963.4</v>
      </c>
      <c r="D140" s="132">
        <f>E140+F140+G140</f>
        <v>34963.4</v>
      </c>
      <c r="E140" s="132">
        <f>E141</f>
        <v>33564.699999999997</v>
      </c>
      <c r="F140" s="132">
        <f>F142</f>
        <v>1049</v>
      </c>
      <c r="G140" s="132">
        <f>G143</f>
        <v>349.7</v>
      </c>
      <c r="H140" s="132">
        <f>H143</f>
        <v>34963.5</v>
      </c>
      <c r="I140" s="132">
        <f>I141</f>
        <v>33564.699999999997</v>
      </c>
      <c r="J140" s="132">
        <f>J142</f>
        <v>1049.0999999999999</v>
      </c>
      <c r="K140" s="132">
        <f>K143</f>
        <v>349.7</v>
      </c>
      <c r="L140" s="132">
        <f>M140+N140+O140</f>
        <v>34963.5</v>
      </c>
      <c r="M140" s="132">
        <f>M141</f>
        <v>33564.699999999997</v>
      </c>
      <c r="N140" s="132">
        <f>N142</f>
        <v>1049.0999999999999</v>
      </c>
      <c r="O140" s="132">
        <f>O143</f>
        <v>349.7</v>
      </c>
      <c r="P140" s="134">
        <f>H140/D140</f>
        <v>1</v>
      </c>
      <c r="Q140" s="134">
        <f>L140/D140</f>
        <v>1</v>
      </c>
      <c r="R140" s="56"/>
    </row>
    <row r="141" spans="1:18" s="57" customFormat="1" ht="64.5" customHeight="1">
      <c r="A141" s="62" t="s">
        <v>242</v>
      </c>
      <c r="B141" s="112" t="s">
        <v>243</v>
      </c>
      <c r="C141" s="133">
        <v>33564.800000000003</v>
      </c>
      <c r="D141" s="133">
        <f>E141</f>
        <v>33564.699999999997</v>
      </c>
      <c r="E141" s="133">
        <f>E143</f>
        <v>33564.699999999997</v>
      </c>
      <c r="F141" s="133">
        <v>0</v>
      </c>
      <c r="G141" s="133">
        <v>0</v>
      </c>
      <c r="H141" s="133">
        <f>I141</f>
        <v>33564.699999999997</v>
      </c>
      <c r="I141" s="133">
        <f>I143</f>
        <v>33564.699999999997</v>
      </c>
      <c r="J141" s="133">
        <v>0</v>
      </c>
      <c r="K141" s="133">
        <v>0</v>
      </c>
      <c r="L141" s="133">
        <f>M141</f>
        <v>33564.699999999997</v>
      </c>
      <c r="M141" s="133">
        <f>M143</f>
        <v>33564.699999999997</v>
      </c>
      <c r="N141" s="133">
        <v>0</v>
      </c>
      <c r="O141" s="133">
        <v>0</v>
      </c>
      <c r="P141" s="210">
        <f>H141/D141</f>
        <v>1</v>
      </c>
      <c r="Q141" s="210">
        <f>L141/D141</f>
        <v>1</v>
      </c>
      <c r="R141" s="56"/>
    </row>
    <row r="142" spans="1:18" s="57" customFormat="1" ht="46.15" customHeight="1">
      <c r="A142" s="62" t="s">
        <v>244</v>
      </c>
      <c r="B142" s="112" t="s">
        <v>245</v>
      </c>
      <c r="C142" s="133">
        <v>1049</v>
      </c>
      <c r="D142" s="133">
        <f>F142</f>
        <v>1049</v>
      </c>
      <c r="E142" s="133">
        <v>0</v>
      </c>
      <c r="F142" s="133">
        <f>F143</f>
        <v>1049</v>
      </c>
      <c r="G142" s="133">
        <v>0</v>
      </c>
      <c r="H142" s="133">
        <f>J142</f>
        <v>1049.0999999999999</v>
      </c>
      <c r="I142" s="133">
        <v>0</v>
      </c>
      <c r="J142" s="133">
        <f>J143</f>
        <v>1049.0999999999999</v>
      </c>
      <c r="K142" s="133">
        <v>0</v>
      </c>
      <c r="L142" s="133">
        <f>N142</f>
        <v>1049.0999999999999</v>
      </c>
      <c r="M142" s="133">
        <v>0</v>
      </c>
      <c r="N142" s="133">
        <f>N143</f>
        <v>1049.0999999999999</v>
      </c>
      <c r="O142" s="133">
        <v>0</v>
      </c>
      <c r="P142" s="210">
        <f>H142/D142</f>
        <v>1</v>
      </c>
      <c r="Q142" s="210">
        <f>L142/D142</f>
        <v>1</v>
      </c>
      <c r="R142" s="56"/>
    </row>
    <row r="143" spans="1:18" s="57" customFormat="1" ht="57" customHeight="1">
      <c r="A143" s="62"/>
      <c r="B143" s="112" t="s">
        <v>246</v>
      </c>
      <c r="C143" s="133">
        <f>D143</f>
        <v>34963.4</v>
      </c>
      <c r="D143" s="133">
        <f t="shared" ref="D143:D164" si="43">E143+F143+G143</f>
        <v>34963.4</v>
      </c>
      <c r="E143" s="133">
        <f>E144+E145+E146+E147+E148+E149+E150+E151+E152+E153+E154+E155+E156+E157+E158+E159+E160+E161+E162+E163+E164+E165+E166+E167+E168+E169+E170+E171+E172+E173+E174+E175+E176+E177+E178</f>
        <v>33564.699999999997</v>
      </c>
      <c r="F143" s="133">
        <v>1049</v>
      </c>
      <c r="G143" s="133">
        <f>G144+G145+G146+G147+G148+G149+G150+G151+G152+G153+G154+G155+G156+G157+G158+G159+G160+G161+G162+G163+G164+G165+G166+G167+G168+G169+G170+G171+G172+G173+G174+G175+G176+G177+G178</f>
        <v>349.7</v>
      </c>
      <c r="H143" s="133">
        <f>H144+H145+H146+H147+H148+H149+H150+H151+H152+H153+H154+H155+H156+H157+H158+H159+H160+H161+H162+H163+H164+H165+H166+H167+H168+H169+H170+H171+H172+H173+H174+H175+H176+H177+H178</f>
        <v>34963.5</v>
      </c>
      <c r="I143" s="133">
        <f>I144+I145+I146+I147+I148+I149+I150+I151+I152+I153+I154+I155+I156+I157+I158+I159+I160+I161+I162+I163+I164+I165+I166+I167+I168+I169+I170+I171+I172+I173+I174+I175+I176+I177+I178</f>
        <v>33564.699999999997</v>
      </c>
      <c r="J143" s="133">
        <f>J144+J145+J146+J147+J148+J149+J150+J151+J152+J153+J154+J155+J156+J157+J158+J159+J160+J161+J162+J163+J164+J165+J166+J167+J168+J169+J170+J171+J172+J173+J174+J175+J176+J177+J178</f>
        <v>1049.0999999999999</v>
      </c>
      <c r="K143" s="133">
        <f>K144+K145+K146+K147+K148+K149+K150+K151+K152+K153+K154+K155+K156+K157+K158+K159+K160+K161+K162+K163+K164+K165+K166+K167+K168+K169+K170+K171+K172+K173+K174+K175+K176+K177+K178</f>
        <v>349.7</v>
      </c>
      <c r="L143" s="133">
        <f>H143</f>
        <v>34963.5</v>
      </c>
      <c r="M143" s="133">
        <f>I143</f>
        <v>33564.699999999997</v>
      </c>
      <c r="N143" s="133">
        <f>J143</f>
        <v>1049.0999999999999</v>
      </c>
      <c r="O143" s="133">
        <f>K143</f>
        <v>349.7</v>
      </c>
      <c r="P143" s="210">
        <f>H143/D143</f>
        <v>1</v>
      </c>
      <c r="Q143" s="210">
        <f>L143/D143</f>
        <v>1</v>
      </c>
      <c r="R143" s="56"/>
    </row>
    <row r="144" spans="1:18" s="57" customFormat="1" ht="64.5" customHeight="1">
      <c r="A144" s="62"/>
      <c r="B144" s="263" t="s">
        <v>489</v>
      </c>
      <c r="C144" s="264">
        <f>1267784.46/1000</f>
        <v>1267.8</v>
      </c>
      <c r="D144" s="133">
        <f t="shared" si="43"/>
        <v>1267.8</v>
      </c>
      <c r="E144" s="264">
        <f>1217073.08/1000</f>
        <v>1217.0999999999999</v>
      </c>
      <c r="F144" s="264">
        <f>38033.53/1000</f>
        <v>38</v>
      </c>
      <c r="G144" s="264">
        <f>12677.85/1000</f>
        <v>12.7</v>
      </c>
      <c r="H144" s="133">
        <f>I144+J144+K144</f>
        <v>1267.8</v>
      </c>
      <c r="I144" s="265">
        <f>E144</f>
        <v>1217.0999999999999</v>
      </c>
      <c r="J144" s="265">
        <f t="shared" ref="J144:K159" si="44">F144</f>
        <v>38</v>
      </c>
      <c r="K144" s="265">
        <f t="shared" si="44"/>
        <v>12.7</v>
      </c>
      <c r="L144" s="133">
        <f>M144+N144+O144</f>
        <v>1267.8</v>
      </c>
      <c r="M144" s="133">
        <f t="shared" ref="M144:O159" si="45">I144</f>
        <v>1217.0999999999999</v>
      </c>
      <c r="N144" s="133">
        <f t="shared" si="45"/>
        <v>38</v>
      </c>
      <c r="O144" s="133">
        <f t="shared" si="45"/>
        <v>12.7</v>
      </c>
      <c r="P144" s="210">
        <f>H144/D144</f>
        <v>1</v>
      </c>
      <c r="Q144" s="210">
        <f>L144/D144</f>
        <v>1</v>
      </c>
      <c r="R144" s="56"/>
    </row>
    <row r="145" spans="1:18" s="57" customFormat="1" ht="43.9" customHeight="1">
      <c r="A145" s="62"/>
      <c r="B145" s="263" t="s">
        <v>490</v>
      </c>
      <c r="C145" s="264">
        <f>910350/1000</f>
        <v>910.4</v>
      </c>
      <c r="D145" s="133">
        <f t="shared" si="43"/>
        <v>910.3</v>
      </c>
      <c r="E145" s="264">
        <f>873936/1000</f>
        <v>873.9</v>
      </c>
      <c r="F145" s="264">
        <f>27310.5/1000</f>
        <v>27.3</v>
      </c>
      <c r="G145" s="264">
        <f>9103.5/1000</f>
        <v>9.1</v>
      </c>
      <c r="H145" s="133">
        <f t="shared" ref="H145:H178" si="46">I145+J145+K145</f>
        <v>910.3</v>
      </c>
      <c r="I145" s="265">
        <f t="shared" ref="I145:K178" si="47">E145</f>
        <v>873.9</v>
      </c>
      <c r="J145" s="265">
        <f t="shared" si="44"/>
        <v>27.3</v>
      </c>
      <c r="K145" s="265">
        <f t="shared" si="44"/>
        <v>9.1</v>
      </c>
      <c r="L145" s="133">
        <f t="shared" ref="L145:L178" si="48">M145+N145+O145</f>
        <v>910.3</v>
      </c>
      <c r="M145" s="133">
        <f t="shared" si="45"/>
        <v>873.9</v>
      </c>
      <c r="N145" s="133">
        <f t="shared" si="45"/>
        <v>27.3</v>
      </c>
      <c r="O145" s="133">
        <f t="shared" si="45"/>
        <v>9.1</v>
      </c>
      <c r="P145" s="210">
        <f t="shared" ref="P145:P183" si="49">H145/D145</f>
        <v>1</v>
      </c>
      <c r="Q145" s="210">
        <f t="shared" ref="Q145:Q183" si="50">L145/D145</f>
        <v>1</v>
      </c>
      <c r="R145" s="56"/>
    </row>
    <row r="146" spans="1:18" s="57" customFormat="1" ht="49.15" customHeight="1">
      <c r="A146" s="62"/>
      <c r="B146" s="263" t="s">
        <v>491</v>
      </c>
      <c r="C146" s="264">
        <f>1889193.25/1000</f>
        <v>1889.2</v>
      </c>
      <c r="D146" s="133">
        <f t="shared" si="43"/>
        <v>1889.2</v>
      </c>
      <c r="E146" s="264">
        <f>1813625.52/1000</f>
        <v>1813.6</v>
      </c>
      <c r="F146" s="264">
        <f>56675.8/1000</f>
        <v>56.7</v>
      </c>
      <c r="G146" s="264">
        <f>18891.93/1000</f>
        <v>18.899999999999999</v>
      </c>
      <c r="H146" s="133">
        <f t="shared" si="46"/>
        <v>1889.2</v>
      </c>
      <c r="I146" s="265">
        <f t="shared" si="47"/>
        <v>1813.6</v>
      </c>
      <c r="J146" s="265">
        <f t="shared" si="44"/>
        <v>56.7</v>
      </c>
      <c r="K146" s="265">
        <f t="shared" si="44"/>
        <v>18.899999999999999</v>
      </c>
      <c r="L146" s="133">
        <f t="shared" si="48"/>
        <v>1889.2</v>
      </c>
      <c r="M146" s="133">
        <f t="shared" si="45"/>
        <v>1813.6</v>
      </c>
      <c r="N146" s="133">
        <f t="shared" si="45"/>
        <v>56.7</v>
      </c>
      <c r="O146" s="133">
        <f t="shared" si="45"/>
        <v>18.899999999999999</v>
      </c>
      <c r="P146" s="210">
        <f t="shared" si="49"/>
        <v>1</v>
      </c>
      <c r="Q146" s="210">
        <f t="shared" si="50"/>
        <v>1</v>
      </c>
      <c r="R146" s="56"/>
    </row>
    <row r="147" spans="1:18" s="57" customFormat="1" ht="53.45" customHeight="1">
      <c r="A147" s="62"/>
      <c r="B147" s="263" t="s">
        <v>560</v>
      </c>
      <c r="C147" s="264">
        <f>1525655.93/1000</f>
        <v>1525.7</v>
      </c>
      <c r="D147" s="133">
        <f t="shared" si="43"/>
        <v>1525.7</v>
      </c>
      <c r="E147" s="264">
        <f>1464629.69/1000</f>
        <v>1464.6</v>
      </c>
      <c r="F147" s="264">
        <f>45769.68/1000</f>
        <v>45.8</v>
      </c>
      <c r="G147" s="264">
        <f>15256.56/1000</f>
        <v>15.3</v>
      </c>
      <c r="H147" s="133">
        <f t="shared" si="46"/>
        <v>1525.7</v>
      </c>
      <c r="I147" s="265">
        <f t="shared" si="47"/>
        <v>1464.6</v>
      </c>
      <c r="J147" s="265">
        <f t="shared" si="44"/>
        <v>45.8</v>
      </c>
      <c r="K147" s="265">
        <f t="shared" si="44"/>
        <v>15.3</v>
      </c>
      <c r="L147" s="133">
        <f t="shared" si="48"/>
        <v>1525.7</v>
      </c>
      <c r="M147" s="133">
        <f t="shared" si="45"/>
        <v>1464.6</v>
      </c>
      <c r="N147" s="133">
        <f t="shared" si="45"/>
        <v>45.8</v>
      </c>
      <c r="O147" s="133">
        <f t="shared" si="45"/>
        <v>15.3</v>
      </c>
      <c r="P147" s="210">
        <f t="shared" si="49"/>
        <v>1</v>
      </c>
      <c r="Q147" s="210">
        <f t="shared" si="50"/>
        <v>1</v>
      </c>
      <c r="R147" s="56"/>
    </row>
    <row r="148" spans="1:18" s="57" customFormat="1" ht="45" customHeight="1">
      <c r="A148" s="62"/>
      <c r="B148" s="263" t="s">
        <v>492</v>
      </c>
      <c r="C148" s="264">
        <f>4122644.67/1000</f>
        <v>4122.6000000000004</v>
      </c>
      <c r="D148" s="133">
        <f t="shared" si="43"/>
        <v>4122.6000000000004</v>
      </c>
      <c r="E148" s="264">
        <f>3957738.88/1000</f>
        <v>3957.7</v>
      </c>
      <c r="F148" s="264">
        <f>123679.34/1000</f>
        <v>123.7</v>
      </c>
      <c r="G148" s="264">
        <f>41226.45/1000</f>
        <v>41.2</v>
      </c>
      <c r="H148" s="133">
        <f t="shared" si="46"/>
        <v>4122.6000000000004</v>
      </c>
      <c r="I148" s="265">
        <f t="shared" si="47"/>
        <v>3957.7</v>
      </c>
      <c r="J148" s="265">
        <f t="shared" si="44"/>
        <v>123.7</v>
      </c>
      <c r="K148" s="265">
        <f t="shared" si="44"/>
        <v>41.2</v>
      </c>
      <c r="L148" s="133">
        <f t="shared" si="48"/>
        <v>4122.6000000000004</v>
      </c>
      <c r="M148" s="133">
        <f t="shared" si="45"/>
        <v>3957.7</v>
      </c>
      <c r="N148" s="133">
        <f t="shared" si="45"/>
        <v>123.7</v>
      </c>
      <c r="O148" s="133">
        <f t="shared" si="45"/>
        <v>41.2</v>
      </c>
      <c r="P148" s="210">
        <f t="shared" si="49"/>
        <v>1</v>
      </c>
      <c r="Q148" s="210">
        <f t="shared" si="50"/>
        <v>1</v>
      </c>
      <c r="R148" s="56"/>
    </row>
    <row r="149" spans="1:18" s="57" customFormat="1" ht="46.15" customHeight="1">
      <c r="A149" s="62"/>
      <c r="B149" s="263" t="s">
        <v>493</v>
      </c>
      <c r="C149" s="264">
        <f>882630.08/1000</f>
        <v>882.6</v>
      </c>
      <c r="D149" s="133">
        <f t="shared" si="43"/>
        <v>882.6</v>
      </c>
      <c r="E149" s="264">
        <f>847324.88/1000</f>
        <v>847.3</v>
      </c>
      <c r="F149" s="264">
        <f>26478.9/1000</f>
        <v>26.5</v>
      </c>
      <c r="G149" s="264">
        <f>8826.3/1000</f>
        <v>8.8000000000000007</v>
      </c>
      <c r="H149" s="133">
        <f t="shared" si="46"/>
        <v>882.6</v>
      </c>
      <c r="I149" s="265">
        <f t="shared" si="47"/>
        <v>847.3</v>
      </c>
      <c r="J149" s="265">
        <f t="shared" si="44"/>
        <v>26.5</v>
      </c>
      <c r="K149" s="265">
        <f t="shared" si="44"/>
        <v>8.8000000000000007</v>
      </c>
      <c r="L149" s="133">
        <f t="shared" si="48"/>
        <v>882.6</v>
      </c>
      <c r="M149" s="133">
        <f t="shared" si="45"/>
        <v>847.3</v>
      </c>
      <c r="N149" s="133">
        <f t="shared" si="45"/>
        <v>26.5</v>
      </c>
      <c r="O149" s="133">
        <f t="shared" si="45"/>
        <v>8.8000000000000007</v>
      </c>
      <c r="P149" s="210">
        <f t="shared" si="49"/>
        <v>1</v>
      </c>
      <c r="Q149" s="210">
        <f t="shared" si="50"/>
        <v>1</v>
      </c>
      <c r="R149" s="56"/>
    </row>
    <row r="150" spans="1:18" s="57" customFormat="1" ht="64.5" customHeight="1">
      <c r="A150" s="62"/>
      <c r="B150" s="263" t="s">
        <v>494</v>
      </c>
      <c r="C150" s="264">
        <f>670259.02/1000</f>
        <v>670.3</v>
      </c>
      <c r="D150" s="133">
        <f t="shared" si="43"/>
        <v>670.2</v>
      </c>
      <c r="E150" s="264">
        <f>643448.66/1000</f>
        <v>643.4</v>
      </c>
      <c r="F150" s="264">
        <f>20107.77/1000</f>
        <v>20.100000000000001</v>
      </c>
      <c r="G150" s="264">
        <f>6702.59/1000</f>
        <v>6.7</v>
      </c>
      <c r="H150" s="133">
        <f t="shared" si="46"/>
        <v>670.2</v>
      </c>
      <c r="I150" s="265">
        <f t="shared" si="47"/>
        <v>643.4</v>
      </c>
      <c r="J150" s="265">
        <f t="shared" si="44"/>
        <v>20.100000000000001</v>
      </c>
      <c r="K150" s="265">
        <f t="shared" si="44"/>
        <v>6.7</v>
      </c>
      <c r="L150" s="133">
        <f t="shared" si="48"/>
        <v>670.2</v>
      </c>
      <c r="M150" s="133">
        <f t="shared" si="45"/>
        <v>643.4</v>
      </c>
      <c r="N150" s="133">
        <f t="shared" si="45"/>
        <v>20.100000000000001</v>
      </c>
      <c r="O150" s="133">
        <f t="shared" si="45"/>
        <v>6.7</v>
      </c>
      <c r="P150" s="210">
        <f t="shared" si="49"/>
        <v>1</v>
      </c>
      <c r="Q150" s="210">
        <f t="shared" si="50"/>
        <v>1</v>
      </c>
      <c r="R150" s="56"/>
    </row>
    <row r="151" spans="1:18" s="57" customFormat="1" ht="73.900000000000006" customHeight="1">
      <c r="A151" s="62"/>
      <c r="B151" s="263" t="s">
        <v>495</v>
      </c>
      <c r="C151" s="264">
        <f>605488/1000</f>
        <v>605.5</v>
      </c>
      <c r="D151" s="133">
        <f t="shared" si="43"/>
        <v>605.6</v>
      </c>
      <c r="E151" s="264">
        <f>581268.48/1000</f>
        <v>581.29999999999995</v>
      </c>
      <c r="F151" s="264">
        <f>18164.64/1000</f>
        <v>18.2</v>
      </c>
      <c r="G151" s="264">
        <f>6054.88/1000</f>
        <v>6.1</v>
      </c>
      <c r="H151" s="133">
        <f t="shared" si="46"/>
        <v>605.6</v>
      </c>
      <c r="I151" s="265">
        <f t="shared" si="47"/>
        <v>581.29999999999995</v>
      </c>
      <c r="J151" s="265">
        <f t="shared" si="44"/>
        <v>18.2</v>
      </c>
      <c r="K151" s="265">
        <f t="shared" si="44"/>
        <v>6.1</v>
      </c>
      <c r="L151" s="133">
        <f t="shared" si="48"/>
        <v>605.6</v>
      </c>
      <c r="M151" s="133">
        <f t="shared" si="45"/>
        <v>581.29999999999995</v>
      </c>
      <c r="N151" s="133">
        <f t="shared" si="45"/>
        <v>18.2</v>
      </c>
      <c r="O151" s="133">
        <f t="shared" si="45"/>
        <v>6.1</v>
      </c>
      <c r="P151" s="210">
        <f t="shared" si="49"/>
        <v>1</v>
      </c>
      <c r="Q151" s="210">
        <f t="shared" si="50"/>
        <v>1</v>
      </c>
      <c r="R151" s="56"/>
    </row>
    <row r="152" spans="1:18" s="57" customFormat="1" ht="45" customHeight="1">
      <c r="A152" s="62"/>
      <c r="B152" s="263" t="s">
        <v>496</v>
      </c>
      <c r="C152" s="264">
        <f>1034193.33/1000</f>
        <v>1034.2</v>
      </c>
      <c r="D152" s="133">
        <f t="shared" si="43"/>
        <v>1034.0999999999999</v>
      </c>
      <c r="E152" s="264">
        <f>992825.6/1000</f>
        <v>992.8</v>
      </c>
      <c r="F152" s="264">
        <f>31025.8/1000</f>
        <v>31</v>
      </c>
      <c r="G152" s="264">
        <f>10341.93/1000</f>
        <v>10.3</v>
      </c>
      <c r="H152" s="133">
        <f t="shared" si="46"/>
        <v>1034.0999999999999</v>
      </c>
      <c r="I152" s="265">
        <f t="shared" si="47"/>
        <v>992.8</v>
      </c>
      <c r="J152" s="265">
        <f t="shared" si="44"/>
        <v>31</v>
      </c>
      <c r="K152" s="265">
        <f t="shared" si="44"/>
        <v>10.3</v>
      </c>
      <c r="L152" s="133">
        <f t="shared" si="48"/>
        <v>1034.0999999999999</v>
      </c>
      <c r="M152" s="133">
        <f t="shared" si="45"/>
        <v>992.8</v>
      </c>
      <c r="N152" s="133">
        <f t="shared" si="45"/>
        <v>31</v>
      </c>
      <c r="O152" s="133">
        <f t="shared" si="45"/>
        <v>10.3</v>
      </c>
      <c r="P152" s="210">
        <f t="shared" si="49"/>
        <v>1</v>
      </c>
      <c r="Q152" s="210">
        <f t="shared" si="50"/>
        <v>1</v>
      </c>
      <c r="R152" s="56"/>
    </row>
    <row r="153" spans="1:18" s="57" customFormat="1" ht="50.45" customHeight="1">
      <c r="A153" s="62"/>
      <c r="B153" s="263" t="s">
        <v>497</v>
      </c>
      <c r="C153" s="264">
        <f>4924716.65/1000</f>
        <v>4924.7</v>
      </c>
      <c r="D153" s="133">
        <f t="shared" si="43"/>
        <v>4924.6000000000004</v>
      </c>
      <c r="E153" s="264">
        <f>4727727.98/1000</f>
        <v>4727.7</v>
      </c>
      <c r="F153" s="264">
        <f>147741.5/1000</f>
        <v>147.69999999999999</v>
      </c>
      <c r="G153" s="264">
        <f>49247.17/1000</f>
        <v>49.2</v>
      </c>
      <c r="H153" s="133">
        <f t="shared" si="46"/>
        <v>4924.6000000000004</v>
      </c>
      <c r="I153" s="265">
        <f t="shared" si="47"/>
        <v>4727.7</v>
      </c>
      <c r="J153" s="265">
        <f t="shared" si="44"/>
        <v>147.69999999999999</v>
      </c>
      <c r="K153" s="265">
        <f t="shared" si="44"/>
        <v>49.2</v>
      </c>
      <c r="L153" s="133">
        <f t="shared" si="48"/>
        <v>4924.6000000000004</v>
      </c>
      <c r="M153" s="133">
        <f t="shared" si="45"/>
        <v>4727.7</v>
      </c>
      <c r="N153" s="133">
        <f t="shared" si="45"/>
        <v>147.69999999999999</v>
      </c>
      <c r="O153" s="133">
        <f t="shared" si="45"/>
        <v>49.2</v>
      </c>
      <c r="P153" s="210">
        <f t="shared" si="49"/>
        <v>1</v>
      </c>
      <c r="Q153" s="210">
        <f t="shared" si="50"/>
        <v>1</v>
      </c>
      <c r="R153" s="56"/>
    </row>
    <row r="154" spans="1:18" s="57" customFormat="1" ht="49.15" customHeight="1">
      <c r="A154" s="62"/>
      <c r="B154" s="263" t="s">
        <v>498</v>
      </c>
      <c r="C154" s="264">
        <f>1164698.38/1000</f>
        <v>1164.7</v>
      </c>
      <c r="D154" s="133">
        <f t="shared" si="43"/>
        <v>1164.5999999999999</v>
      </c>
      <c r="E154" s="264">
        <f>1118110.44/1000</f>
        <v>1118.0999999999999</v>
      </c>
      <c r="F154" s="264">
        <f>34940.95/1000</f>
        <v>34.9</v>
      </c>
      <c r="G154" s="264">
        <f>11646.99/1000</f>
        <v>11.6</v>
      </c>
      <c r="H154" s="133">
        <f t="shared" si="46"/>
        <v>1164.5999999999999</v>
      </c>
      <c r="I154" s="265">
        <f t="shared" si="47"/>
        <v>1118.0999999999999</v>
      </c>
      <c r="J154" s="265">
        <f t="shared" si="44"/>
        <v>34.9</v>
      </c>
      <c r="K154" s="265">
        <f t="shared" si="44"/>
        <v>11.6</v>
      </c>
      <c r="L154" s="133">
        <f t="shared" si="48"/>
        <v>1164.5999999999999</v>
      </c>
      <c r="M154" s="133">
        <f t="shared" si="45"/>
        <v>1118.0999999999999</v>
      </c>
      <c r="N154" s="133">
        <f t="shared" si="45"/>
        <v>34.9</v>
      </c>
      <c r="O154" s="133">
        <f t="shared" si="45"/>
        <v>11.6</v>
      </c>
      <c r="P154" s="210">
        <f t="shared" si="49"/>
        <v>1</v>
      </c>
      <c r="Q154" s="210">
        <f t="shared" si="50"/>
        <v>1</v>
      </c>
      <c r="R154" s="56"/>
    </row>
    <row r="155" spans="1:18" s="57" customFormat="1" ht="55.15" customHeight="1">
      <c r="A155" s="62"/>
      <c r="B155" s="263" t="s">
        <v>499</v>
      </c>
      <c r="C155" s="264">
        <f>392220.4/1000</f>
        <v>392.2</v>
      </c>
      <c r="D155" s="133">
        <f t="shared" si="43"/>
        <v>392.2</v>
      </c>
      <c r="E155" s="264">
        <f>376531.58/1000</f>
        <v>376.5</v>
      </c>
      <c r="F155" s="264">
        <f>11766.61/1000</f>
        <v>11.8</v>
      </c>
      <c r="G155" s="264">
        <f>3922.21/1000</f>
        <v>3.9</v>
      </c>
      <c r="H155" s="133">
        <f t="shared" si="46"/>
        <v>392.2</v>
      </c>
      <c r="I155" s="265">
        <f t="shared" si="47"/>
        <v>376.5</v>
      </c>
      <c r="J155" s="265">
        <f t="shared" si="44"/>
        <v>11.8</v>
      </c>
      <c r="K155" s="265">
        <f t="shared" si="44"/>
        <v>3.9</v>
      </c>
      <c r="L155" s="133">
        <f t="shared" si="48"/>
        <v>392.2</v>
      </c>
      <c r="M155" s="133">
        <f t="shared" si="45"/>
        <v>376.5</v>
      </c>
      <c r="N155" s="133">
        <f t="shared" si="45"/>
        <v>11.8</v>
      </c>
      <c r="O155" s="133">
        <f t="shared" si="45"/>
        <v>3.9</v>
      </c>
      <c r="P155" s="210">
        <f t="shared" si="49"/>
        <v>1</v>
      </c>
      <c r="Q155" s="210">
        <f t="shared" si="50"/>
        <v>1</v>
      </c>
      <c r="R155" s="56"/>
    </row>
    <row r="156" spans="1:18" s="57" customFormat="1" ht="54" customHeight="1">
      <c r="A156" s="62"/>
      <c r="B156" s="263" t="s">
        <v>561</v>
      </c>
      <c r="C156" s="264">
        <f>319000/1000</f>
        <v>319</v>
      </c>
      <c r="D156" s="133">
        <f t="shared" si="43"/>
        <v>319</v>
      </c>
      <c r="E156" s="264">
        <f>306240/1000</f>
        <v>306.2</v>
      </c>
      <c r="F156" s="264">
        <f>9570/1000</f>
        <v>9.6</v>
      </c>
      <c r="G156" s="264">
        <f>3190/1000</f>
        <v>3.2</v>
      </c>
      <c r="H156" s="133">
        <f t="shared" si="46"/>
        <v>319</v>
      </c>
      <c r="I156" s="265">
        <f t="shared" si="47"/>
        <v>306.2</v>
      </c>
      <c r="J156" s="265">
        <f t="shared" si="44"/>
        <v>9.6</v>
      </c>
      <c r="K156" s="265">
        <f t="shared" si="44"/>
        <v>3.2</v>
      </c>
      <c r="L156" s="133">
        <f t="shared" si="48"/>
        <v>319</v>
      </c>
      <c r="M156" s="133">
        <f t="shared" si="45"/>
        <v>306.2</v>
      </c>
      <c r="N156" s="133">
        <f t="shared" si="45"/>
        <v>9.6</v>
      </c>
      <c r="O156" s="133">
        <f t="shared" si="45"/>
        <v>3.2</v>
      </c>
      <c r="P156" s="210">
        <f t="shared" si="49"/>
        <v>1</v>
      </c>
      <c r="Q156" s="210">
        <f t="shared" si="50"/>
        <v>1</v>
      </c>
      <c r="R156" s="56"/>
    </row>
    <row r="157" spans="1:18" s="57" customFormat="1" ht="56.45" customHeight="1">
      <c r="A157" s="62"/>
      <c r="B157" s="263" t="s">
        <v>562</v>
      </c>
      <c r="C157" s="264">
        <f>219592.02/1000</f>
        <v>219.6</v>
      </c>
      <c r="D157" s="133">
        <f t="shared" si="43"/>
        <v>219.6</v>
      </c>
      <c r="E157" s="264">
        <f>210808.34/1000</f>
        <v>210.8</v>
      </c>
      <c r="F157" s="264">
        <f>6587.76/1000</f>
        <v>6.6</v>
      </c>
      <c r="G157" s="264">
        <f>2195.92/1000</f>
        <v>2.2000000000000002</v>
      </c>
      <c r="H157" s="133">
        <f t="shared" si="46"/>
        <v>219.6</v>
      </c>
      <c r="I157" s="265">
        <f t="shared" si="47"/>
        <v>210.8</v>
      </c>
      <c r="J157" s="265">
        <f t="shared" si="44"/>
        <v>6.6</v>
      </c>
      <c r="K157" s="265">
        <f t="shared" si="44"/>
        <v>2.2000000000000002</v>
      </c>
      <c r="L157" s="133">
        <f t="shared" si="48"/>
        <v>219.6</v>
      </c>
      <c r="M157" s="133">
        <f t="shared" si="45"/>
        <v>210.8</v>
      </c>
      <c r="N157" s="133">
        <f t="shared" si="45"/>
        <v>6.6</v>
      </c>
      <c r="O157" s="133">
        <f t="shared" si="45"/>
        <v>2.2000000000000002</v>
      </c>
      <c r="P157" s="210">
        <f t="shared" si="49"/>
        <v>1</v>
      </c>
      <c r="Q157" s="210">
        <f t="shared" si="50"/>
        <v>1</v>
      </c>
      <c r="R157" s="56"/>
    </row>
    <row r="158" spans="1:18" s="57" customFormat="1" ht="53.45" customHeight="1">
      <c r="A158" s="62"/>
      <c r="B158" s="263" t="s">
        <v>500</v>
      </c>
      <c r="C158" s="264">
        <f>170707.57/1000</f>
        <v>170.7</v>
      </c>
      <c r="D158" s="133">
        <f t="shared" si="43"/>
        <v>170.7</v>
      </c>
      <c r="E158" s="264">
        <f>163879.27/1000</f>
        <v>163.9</v>
      </c>
      <c r="F158" s="264">
        <f>5121.23/1000</f>
        <v>5.0999999999999996</v>
      </c>
      <c r="G158" s="264">
        <f>1707.07/1000</f>
        <v>1.7</v>
      </c>
      <c r="H158" s="133">
        <f t="shared" si="46"/>
        <v>170.7</v>
      </c>
      <c r="I158" s="265">
        <f t="shared" si="47"/>
        <v>163.9</v>
      </c>
      <c r="J158" s="265">
        <f t="shared" si="44"/>
        <v>5.0999999999999996</v>
      </c>
      <c r="K158" s="265">
        <f t="shared" si="44"/>
        <v>1.7</v>
      </c>
      <c r="L158" s="133">
        <f t="shared" si="48"/>
        <v>170.7</v>
      </c>
      <c r="M158" s="133">
        <f t="shared" si="45"/>
        <v>163.9</v>
      </c>
      <c r="N158" s="133">
        <f t="shared" si="45"/>
        <v>5.0999999999999996</v>
      </c>
      <c r="O158" s="133">
        <f t="shared" si="45"/>
        <v>1.7</v>
      </c>
      <c r="P158" s="210">
        <f t="shared" si="49"/>
        <v>1</v>
      </c>
      <c r="Q158" s="210">
        <f t="shared" si="50"/>
        <v>1</v>
      </c>
      <c r="R158" s="56"/>
    </row>
    <row r="159" spans="1:18" s="57" customFormat="1" ht="41.45" customHeight="1">
      <c r="A159" s="62"/>
      <c r="B159" s="263" t="s">
        <v>501</v>
      </c>
      <c r="C159" s="264">
        <f>153895.47/1000</f>
        <v>153.9</v>
      </c>
      <c r="D159" s="133">
        <f t="shared" si="43"/>
        <v>153.80000000000001</v>
      </c>
      <c r="E159" s="264">
        <f>147739.65/1000</f>
        <v>147.69999999999999</v>
      </c>
      <c r="F159" s="264">
        <f>4616.86/1000</f>
        <v>4.5999999999999996</v>
      </c>
      <c r="G159" s="264">
        <f>1538.96/1000</f>
        <v>1.5</v>
      </c>
      <c r="H159" s="133">
        <f t="shared" si="46"/>
        <v>153.80000000000001</v>
      </c>
      <c r="I159" s="265">
        <f t="shared" si="47"/>
        <v>147.69999999999999</v>
      </c>
      <c r="J159" s="265">
        <f t="shared" si="44"/>
        <v>4.5999999999999996</v>
      </c>
      <c r="K159" s="265">
        <f t="shared" si="44"/>
        <v>1.5</v>
      </c>
      <c r="L159" s="133">
        <f t="shared" si="48"/>
        <v>153.80000000000001</v>
      </c>
      <c r="M159" s="133">
        <f t="shared" si="45"/>
        <v>147.69999999999999</v>
      </c>
      <c r="N159" s="133">
        <f t="shared" si="45"/>
        <v>4.5999999999999996</v>
      </c>
      <c r="O159" s="133">
        <f t="shared" si="45"/>
        <v>1.5</v>
      </c>
      <c r="P159" s="210">
        <f t="shared" si="49"/>
        <v>1</v>
      </c>
      <c r="Q159" s="210">
        <f t="shared" si="50"/>
        <v>1</v>
      </c>
      <c r="R159" s="56"/>
    </row>
    <row r="160" spans="1:18" s="57" customFormat="1" ht="56.45" customHeight="1">
      <c r="A160" s="62"/>
      <c r="B160" s="263" t="s">
        <v>502</v>
      </c>
      <c r="C160" s="264">
        <f>121902.87/1000</f>
        <v>121.9</v>
      </c>
      <c r="D160" s="133">
        <f t="shared" si="43"/>
        <v>121.9</v>
      </c>
      <c r="E160" s="264">
        <f>117026.76/1000</f>
        <v>117</v>
      </c>
      <c r="F160" s="264">
        <f>3657.09/1000</f>
        <v>3.7</v>
      </c>
      <c r="G160" s="264">
        <f>1219.02/1000</f>
        <v>1.2</v>
      </c>
      <c r="H160" s="133">
        <f t="shared" si="46"/>
        <v>121.9</v>
      </c>
      <c r="I160" s="265">
        <f t="shared" si="47"/>
        <v>117</v>
      </c>
      <c r="J160" s="265">
        <f t="shared" si="47"/>
        <v>3.7</v>
      </c>
      <c r="K160" s="265">
        <f t="shared" si="47"/>
        <v>1.2</v>
      </c>
      <c r="L160" s="133">
        <f t="shared" si="48"/>
        <v>121.9</v>
      </c>
      <c r="M160" s="133">
        <f t="shared" ref="M160:O178" si="51">I160</f>
        <v>117</v>
      </c>
      <c r="N160" s="133">
        <f t="shared" si="51"/>
        <v>3.7</v>
      </c>
      <c r="O160" s="133">
        <f t="shared" si="51"/>
        <v>1.2</v>
      </c>
      <c r="P160" s="210">
        <f t="shared" si="49"/>
        <v>1</v>
      </c>
      <c r="Q160" s="210">
        <f t="shared" si="50"/>
        <v>1</v>
      </c>
      <c r="R160" s="56"/>
    </row>
    <row r="161" spans="1:18" s="57" customFormat="1" ht="64.5" customHeight="1">
      <c r="A161" s="62"/>
      <c r="B161" s="266" t="s">
        <v>503</v>
      </c>
      <c r="C161" s="267">
        <f>77083.33/1000</f>
        <v>77.099999999999994</v>
      </c>
      <c r="D161" s="133">
        <f t="shared" si="43"/>
        <v>77.099999999999994</v>
      </c>
      <c r="E161" s="267">
        <f>74000/1000</f>
        <v>74</v>
      </c>
      <c r="F161" s="267">
        <f>2312.5/1000</f>
        <v>2.2999999999999998</v>
      </c>
      <c r="G161" s="267">
        <f>770.83/1000</f>
        <v>0.8</v>
      </c>
      <c r="H161" s="133">
        <f t="shared" si="46"/>
        <v>77.099999999999994</v>
      </c>
      <c r="I161" s="265">
        <f t="shared" si="47"/>
        <v>74</v>
      </c>
      <c r="J161" s="265">
        <f t="shared" si="47"/>
        <v>2.2999999999999998</v>
      </c>
      <c r="K161" s="265">
        <f t="shared" si="47"/>
        <v>0.8</v>
      </c>
      <c r="L161" s="133">
        <f t="shared" si="48"/>
        <v>77.099999999999994</v>
      </c>
      <c r="M161" s="133">
        <f t="shared" si="51"/>
        <v>74</v>
      </c>
      <c r="N161" s="133">
        <f t="shared" si="51"/>
        <v>2.2999999999999998</v>
      </c>
      <c r="O161" s="133">
        <f t="shared" si="51"/>
        <v>0.8</v>
      </c>
      <c r="P161" s="210">
        <f t="shared" si="49"/>
        <v>1</v>
      </c>
      <c r="Q161" s="210">
        <f t="shared" si="50"/>
        <v>1</v>
      </c>
      <c r="R161" s="56"/>
    </row>
    <row r="162" spans="1:18" s="57" customFormat="1" ht="64.5" customHeight="1">
      <c r="A162" s="62"/>
      <c r="B162" s="263" t="s">
        <v>563</v>
      </c>
      <c r="C162" s="264">
        <f>728608.87/1000</f>
        <v>728.6</v>
      </c>
      <c r="D162" s="133">
        <f t="shared" si="43"/>
        <v>728.7</v>
      </c>
      <c r="E162" s="264">
        <f>699464.51/1000</f>
        <v>699.5</v>
      </c>
      <c r="F162" s="264">
        <f>21858.27/1000</f>
        <v>21.9</v>
      </c>
      <c r="G162" s="264">
        <f>7286.09/1000</f>
        <v>7.3</v>
      </c>
      <c r="H162" s="133">
        <f t="shared" si="46"/>
        <v>728.7</v>
      </c>
      <c r="I162" s="265">
        <f t="shared" si="47"/>
        <v>699.5</v>
      </c>
      <c r="J162" s="265">
        <f t="shared" si="47"/>
        <v>21.9</v>
      </c>
      <c r="K162" s="265">
        <f t="shared" si="47"/>
        <v>7.3</v>
      </c>
      <c r="L162" s="133">
        <f t="shared" si="48"/>
        <v>728.7</v>
      </c>
      <c r="M162" s="133">
        <f t="shared" si="51"/>
        <v>699.5</v>
      </c>
      <c r="N162" s="133">
        <f t="shared" si="51"/>
        <v>21.9</v>
      </c>
      <c r="O162" s="133">
        <f t="shared" si="51"/>
        <v>7.3</v>
      </c>
      <c r="P162" s="210">
        <f t="shared" si="49"/>
        <v>1</v>
      </c>
      <c r="Q162" s="210">
        <f t="shared" si="50"/>
        <v>1</v>
      </c>
      <c r="R162" s="56"/>
    </row>
    <row r="163" spans="1:18" s="57" customFormat="1" ht="64.5" customHeight="1">
      <c r="A163" s="62"/>
      <c r="B163" s="263" t="s">
        <v>564</v>
      </c>
      <c r="C163" s="264">
        <f>394595.56/1000</f>
        <v>394.6</v>
      </c>
      <c r="D163" s="133">
        <f t="shared" si="43"/>
        <v>394.5</v>
      </c>
      <c r="E163" s="264">
        <f>378811.74/1000</f>
        <v>378.8</v>
      </c>
      <c r="F163" s="264">
        <f>11837.87/1000</f>
        <v>11.8</v>
      </c>
      <c r="G163" s="264">
        <f>3945.95/1000</f>
        <v>3.9</v>
      </c>
      <c r="H163" s="133">
        <f t="shared" si="46"/>
        <v>394.5</v>
      </c>
      <c r="I163" s="265">
        <f t="shared" si="47"/>
        <v>378.8</v>
      </c>
      <c r="J163" s="265">
        <f t="shared" si="47"/>
        <v>11.8</v>
      </c>
      <c r="K163" s="265">
        <f t="shared" si="47"/>
        <v>3.9</v>
      </c>
      <c r="L163" s="133">
        <f t="shared" si="48"/>
        <v>394.5</v>
      </c>
      <c r="M163" s="133">
        <f t="shared" si="51"/>
        <v>378.8</v>
      </c>
      <c r="N163" s="133">
        <f t="shared" si="51"/>
        <v>11.8</v>
      </c>
      <c r="O163" s="133">
        <f t="shared" si="51"/>
        <v>3.9</v>
      </c>
      <c r="P163" s="210">
        <f t="shared" si="49"/>
        <v>1</v>
      </c>
      <c r="Q163" s="210">
        <f t="shared" si="50"/>
        <v>1</v>
      </c>
      <c r="R163" s="56"/>
    </row>
    <row r="164" spans="1:18" s="57" customFormat="1" ht="64.5" customHeight="1">
      <c r="A164" s="62"/>
      <c r="B164" s="263" t="s">
        <v>565</v>
      </c>
      <c r="C164" s="264">
        <f>2215332.82/1000</f>
        <v>2215.3000000000002</v>
      </c>
      <c r="D164" s="133">
        <f t="shared" si="43"/>
        <v>2215.4</v>
      </c>
      <c r="E164" s="264">
        <f>2126719.51/1000</f>
        <v>2126.6999999999998</v>
      </c>
      <c r="F164" s="264">
        <f>66459.98/1000</f>
        <v>66.5</v>
      </c>
      <c r="G164" s="264">
        <f>22153.33/1000</f>
        <v>22.2</v>
      </c>
      <c r="H164" s="133">
        <f t="shared" si="46"/>
        <v>2215.4</v>
      </c>
      <c r="I164" s="265">
        <f t="shared" si="47"/>
        <v>2126.6999999999998</v>
      </c>
      <c r="J164" s="265">
        <f t="shared" si="47"/>
        <v>66.5</v>
      </c>
      <c r="K164" s="265">
        <f t="shared" si="47"/>
        <v>22.2</v>
      </c>
      <c r="L164" s="133">
        <f t="shared" si="48"/>
        <v>2215.4</v>
      </c>
      <c r="M164" s="133">
        <f t="shared" si="51"/>
        <v>2126.6999999999998</v>
      </c>
      <c r="N164" s="133">
        <f t="shared" si="51"/>
        <v>66.5</v>
      </c>
      <c r="O164" s="133">
        <f t="shared" si="51"/>
        <v>22.2</v>
      </c>
      <c r="P164" s="210">
        <f t="shared" si="49"/>
        <v>1</v>
      </c>
      <c r="Q164" s="210">
        <f t="shared" si="50"/>
        <v>1</v>
      </c>
      <c r="R164" s="56"/>
    </row>
    <row r="165" spans="1:18" s="57" customFormat="1" ht="64.5" customHeight="1">
      <c r="A165" s="62"/>
      <c r="B165" s="263" t="s">
        <v>566</v>
      </c>
      <c r="C165" s="264">
        <f>339555.28/1000</f>
        <v>339.6</v>
      </c>
      <c r="D165" s="133">
        <f>E165+F165+G165</f>
        <v>339.6</v>
      </c>
      <c r="E165" s="264">
        <f>325973.07/1000</f>
        <v>326</v>
      </c>
      <c r="F165" s="264">
        <f>10186.66/1000</f>
        <v>10.199999999999999</v>
      </c>
      <c r="G165" s="264">
        <f>3395.55/1000</f>
        <v>3.4</v>
      </c>
      <c r="H165" s="133">
        <f t="shared" si="46"/>
        <v>339.6</v>
      </c>
      <c r="I165" s="265">
        <f t="shared" si="47"/>
        <v>326</v>
      </c>
      <c r="J165" s="265">
        <f t="shared" si="47"/>
        <v>10.199999999999999</v>
      </c>
      <c r="K165" s="265">
        <f t="shared" si="47"/>
        <v>3.4</v>
      </c>
      <c r="L165" s="133">
        <f t="shared" si="48"/>
        <v>339.6</v>
      </c>
      <c r="M165" s="133">
        <f t="shared" si="51"/>
        <v>326</v>
      </c>
      <c r="N165" s="133">
        <f t="shared" si="51"/>
        <v>10.199999999999999</v>
      </c>
      <c r="O165" s="133">
        <f t="shared" si="51"/>
        <v>3.4</v>
      </c>
      <c r="P165" s="210">
        <f t="shared" si="49"/>
        <v>1</v>
      </c>
      <c r="Q165" s="210">
        <f t="shared" si="50"/>
        <v>1</v>
      </c>
      <c r="R165" s="56"/>
    </row>
    <row r="166" spans="1:18" s="57" customFormat="1" ht="64.5" customHeight="1">
      <c r="A166" s="62"/>
      <c r="B166" s="263" t="s">
        <v>567</v>
      </c>
      <c r="C166" s="264">
        <f>426527.35/1000</f>
        <v>426.5</v>
      </c>
      <c r="D166" s="133">
        <f t="shared" ref="D166:D178" si="52">E166+F166+G166</f>
        <v>426.6</v>
      </c>
      <c r="E166" s="264">
        <f>409466.26/1000</f>
        <v>409.5</v>
      </c>
      <c r="F166" s="264">
        <f>12795.82/1000</f>
        <v>12.8</v>
      </c>
      <c r="G166" s="264">
        <f>4265.27/1000</f>
        <v>4.3</v>
      </c>
      <c r="H166" s="133">
        <f t="shared" si="46"/>
        <v>426.6</v>
      </c>
      <c r="I166" s="265">
        <f t="shared" si="47"/>
        <v>409.5</v>
      </c>
      <c r="J166" s="265">
        <f t="shared" si="47"/>
        <v>12.8</v>
      </c>
      <c r="K166" s="265">
        <f t="shared" si="47"/>
        <v>4.3</v>
      </c>
      <c r="L166" s="133">
        <f t="shared" si="48"/>
        <v>426.6</v>
      </c>
      <c r="M166" s="133">
        <f t="shared" si="51"/>
        <v>409.5</v>
      </c>
      <c r="N166" s="133">
        <f t="shared" si="51"/>
        <v>12.8</v>
      </c>
      <c r="O166" s="133">
        <f t="shared" si="51"/>
        <v>4.3</v>
      </c>
      <c r="P166" s="210">
        <f t="shared" si="49"/>
        <v>1</v>
      </c>
      <c r="Q166" s="210">
        <f t="shared" si="50"/>
        <v>1</v>
      </c>
      <c r="R166" s="56"/>
    </row>
    <row r="167" spans="1:18" s="57" customFormat="1" ht="64.5" customHeight="1">
      <c r="A167" s="62"/>
      <c r="B167" s="263" t="s">
        <v>568</v>
      </c>
      <c r="C167" s="264">
        <f>216288.7/1000</f>
        <v>216.3</v>
      </c>
      <c r="D167" s="133">
        <f t="shared" si="52"/>
        <v>216.3</v>
      </c>
      <c r="E167" s="264">
        <f>207637.15/1000</f>
        <v>207.6</v>
      </c>
      <c r="F167" s="264">
        <f>6488.66/1000</f>
        <v>6.5</v>
      </c>
      <c r="G167" s="264">
        <f>2162.89/1000</f>
        <v>2.2000000000000002</v>
      </c>
      <c r="H167" s="133">
        <f t="shared" si="46"/>
        <v>216.3</v>
      </c>
      <c r="I167" s="265">
        <f t="shared" si="47"/>
        <v>207.6</v>
      </c>
      <c r="J167" s="265">
        <f t="shared" si="47"/>
        <v>6.5</v>
      </c>
      <c r="K167" s="265">
        <f t="shared" si="47"/>
        <v>2.2000000000000002</v>
      </c>
      <c r="L167" s="133">
        <f t="shared" si="48"/>
        <v>216.3</v>
      </c>
      <c r="M167" s="133">
        <f t="shared" si="51"/>
        <v>207.6</v>
      </c>
      <c r="N167" s="133">
        <f t="shared" si="51"/>
        <v>6.5</v>
      </c>
      <c r="O167" s="133">
        <f t="shared" si="51"/>
        <v>2.2000000000000002</v>
      </c>
      <c r="P167" s="210">
        <f t="shared" si="49"/>
        <v>1</v>
      </c>
      <c r="Q167" s="210">
        <f t="shared" si="50"/>
        <v>1</v>
      </c>
      <c r="R167" s="56"/>
    </row>
    <row r="168" spans="1:18" s="57" customFormat="1" ht="64.5" customHeight="1">
      <c r="A168" s="62"/>
      <c r="B168" s="263" t="s">
        <v>569</v>
      </c>
      <c r="C168" s="264">
        <f>691823.06/1000</f>
        <v>691.8</v>
      </c>
      <c r="D168" s="133">
        <f>E168+F168+G168</f>
        <v>691.9</v>
      </c>
      <c r="E168" s="264">
        <f>664150.14/1000</f>
        <v>664.2</v>
      </c>
      <c r="F168" s="264">
        <f>20754.69/1000</f>
        <v>20.8</v>
      </c>
      <c r="G168" s="264">
        <f>6918.23/1000</f>
        <v>6.9</v>
      </c>
      <c r="H168" s="133">
        <f t="shared" si="46"/>
        <v>691.9</v>
      </c>
      <c r="I168" s="265">
        <f t="shared" si="47"/>
        <v>664.2</v>
      </c>
      <c r="J168" s="265">
        <f t="shared" si="47"/>
        <v>20.8</v>
      </c>
      <c r="K168" s="265">
        <f t="shared" si="47"/>
        <v>6.9</v>
      </c>
      <c r="L168" s="133">
        <f t="shared" si="48"/>
        <v>691.9</v>
      </c>
      <c r="M168" s="133">
        <f t="shared" si="51"/>
        <v>664.2</v>
      </c>
      <c r="N168" s="133">
        <f t="shared" si="51"/>
        <v>20.8</v>
      </c>
      <c r="O168" s="133">
        <f t="shared" si="51"/>
        <v>6.9</v>
      </c>
      <c r="P168" s="210">
        <f t="shared" si="49"/>
        <v>1</v>
      </c>
      <c r="Q168" s="210">
        <f t="shared" si="50"/>
        <v>1</v>
      </c>
      <c r="R168" s="56"/>
    </row>
    <row r="169" spans="1:18" s="57" customFormat="1" ht="64.5" customHeight="1">
      <c r="A169" s="62"/>
      <c r="B169" s="263" t="s">
        <v>570</v>
      </c>
      <c r="C169" s="264">
        <f>209336.26/1000</f>
        <v>209.3</v>
      </c>
      <c r="D169" s="133">
        <f t="shared" si="52"/>
        <v>209.4</v>
      </c>
      <c r="E169" s="264">
        <f>200962.81/1000</f>
        <v>201</v>
      </c>
      <c r="F169" s="264">
        <f>6280.09/1000</f>
        <v>6.3</v>
      </c>
      <c r="G169" s="264">
        <f>2093.36/1000</f>
        <v>2.1</v>
      </c>
      <c r="H169" s="133">
        <f t="shared" si="46"/>
        <v>209.4</v>
      </c>
      <c r="I169" s="265">
        <f t="shared" si="47"/>
        <v>201</v>
      </c>
      <c r="J169" s="265">
        <f t="shared" si="47"/>
        <v>6.3</v>
      </c>
      <c r="K169" s="265">
        <f t="shared" si="47"/>
        <v>2.1</v>
      </c>
      <c r="L169" s="133">
        <f t="shared" si="48"/>
        <v>209.4</v>
      </c>
      <c r="M169" s="133">
        <f t="shared" si="51"/>
        <v>201</v>
      </c>
      <c r="N169" s="133">
        <f t="shared" si="51"/>
        <v>6.3</v>
      </c>
      <c r="O169" s="133">
        <f t="shared" si="51"/>
        <v>2.1</v>
      </c>
      <c r="P169" s="210">
        <f t="shared" si="49"/>
        <v>1</v>
      </c>
      <c r="Q169" s="210">
        <f t="shared" si="50"/>
        <v>1</v>
      </c>
      <c r="R169" s="56"/>
    </row>
    <row r="170" spans="1:18" s="57" customFormat="1" ht="64.5" customHeight="1">
      <c r="A170" s="62"/>
      <c r="B170" s="263" t="s">
        <v>571</v>
      </c>
      <c r="C170" s="264">
        <f>3765904.08/1000</f>
        <v>3765.9</v>
      </c>
      <c r="D170" s="133">
        <f t="shared" si="52"/>
        <v>3766</v>
      </c>
      <c r="E170" s="264">
        <f>3615267.92/1000</f>
        <v>3615.3</v>
      </c>
      <c r="F170" s="264">
        <f>112977.12/1000</f>
        <v>113</v>
      </c>
      <c r="G170" s="264">
        <f>37659.04/1000</f>
        <v>37.700000000000003</v>
      </c>
      <c r="H170" s="133">
        <f t="shared" si="46"/>
        <v>3766</v>
      </c>
      <c r="I170" s="265">
        <f t="shared" si="47"/>
        <v>3615.3</v>
      </c>
      <c r="J170" s="265">
        <f t="shared" si="47"/>
        <v>113</v>
      </c>
      <c r="K170" s="265">
        <f t="shared" si="47"/>
        <v>37.700000000000003</v>
      </c>
      <c r="L170" s="133">
        <f t="shared" si="48"/>
        <v>3766</v>
      </c>
      <c r="M170" s="133">
        <f t="shared" si="51"/>
        <v>3615.3</v>
      </c>
      <c r="N170" s="133">
        <f t="shared" si="51"/>
        <v>113</v>
      </c>
      <c r="O170" s="133">
        <f t="shared" si="51"/>
        <v>37.700000000000003</v>
      </c>
      <c r="P170" s="210">
        <f t="shared" si="49"/>
        <v>1</v>
      </c>
      <c r="Q170" s="210">
        <f t="shared" si="50"/>
        <v>1</v>
      </c>
      <c r="R170" s="56"/>
    </row>
    <row r="171" spans="1:18" s="57" customFormat="1" ht="64.5" customHeight="1">
      <c r="A171" s="62"/>
      <c r="B171" s="263" t="s">
        <v>572</v>
      </c>
      <c r="C171" s="264">
        <f>657046.73/1000</f>
        <v>657</v>
      </c>
      <c r="D171" s="133">
        <f>E171+F171+G171</f>
        <v>657.1</v>
      </c>
      <c r="E171" s="264">
        <f>630764.86/1000</f>
        <v>630.79999999999995</v>
      </c>
      <c r="F171" s="264">
        <f>19711.4/1000</f>
        <v>19.7</v>
      </c>
      <c r="G171" s="264">
        <f>6570.47/1000</f>
        <v>6.6</v>
      </c>
      <c r="H171" s="133">
        <f t="shared" si="46"/>
        <v>657.1</v>
      </c>
      <c r="I171" s="265">
        <f t="shared" si="47"/>
        <v>630.79999999999995</v>
      </c>
      <c r="J171" s="265">
        <f t="shared" si="47"/>
        <v>19.7</v>
      </c>
      <c r="K171" s="265">
        <f t="shared" si="47"/>
        <v>6.6</v>
      </c>
      <c r="L171" s="133">
        <f t="shared" si="48"/>
        <v>657.1</v>
      </c>
      <c r="M171" s="133">
        <f t="shared" si="51"/>
        <v>630.79999999999995</v>
      </c>
      <c r="N171" s="133">
        <f t="shared" si="51"/>
        <v>19.7</v>
      </c>
      <c r="O171" s="133">
        <f t="shared" si="51"/>
        <v>6.6</v>
      </c>
      <c r="P171" s="210">
        <f t="shared" si="49"/>
        <v>1</v>
      </c>
      <c r="Q171" s="210">
        <f t="shared" si="50"/>
        <v>1</v>
      </c>
      <c r="R171" s="56"/>
    </row>
    <row r="172" spans="1:18" s="57" customFormat="1" ht="64.5" customHeight="1">
      <c r="A172" s="62"/>
      <c r="B172" s="263" t="s">
        <v>573</v>
      </c>
      <c r="C172" s="264">
        <f>748948.98/1000</f>
        <v>748.9</v>
      </c>
      <c r="D172" s="133">
        <f t="shared" si="52"/>
        <v>749</v>
      </c>
      <c r="E172" s="264">
        <f>718991.02/1000</f>
        <v>719</v>
      </c>
      <c r="F172" s="264">
        <f>22468.47/1000</f>
        <v>22.5</v>
      </c>
      <c r="G172" s="264">
        <f>7489.49/1000</f>
        <v>7.5</v>
      </c>
      <c r="H172" s="133">
        <f t="shared" si="46"/>
        <v>749</v>
      </c>
      <c r="I172" s="265">
        <f t="shared" si="47"/>
        <v>719</v>
      </c>
      <c r="J172" s="265">
        <f t="shared" si="47"/>
        <v>22.5</v>
      </c>
      <c r="K172" s="265">
        <f t="shared" si="47"/>
        <v>7.5</v>
      </c>
      <c r="L172" s="133">
        <f t="shared" si="48"/>
        <v>749</v>
      </c>
      <c r="M172" s="133">
        <f t="shared" si="51"/>
        <v>719</v>
      </c>
      <c r="N172" s="133">
        <f t="shared" si="51"/>
        <v>22.5</v>
      </c>
      <c r="O172" s="133">
        <f t="shared" si="51"/>
        <v>7.5</v>
      </c>
      <c r="P172" s="210">
        <f t="shared" si="49"/>
        <v>1</v>
      </c>
      <c r="Q172" s="210">
        <f t="shared" si="50"/>
        <v>1</v>
      </c>
      <c r="R172" s="56"/>
    </row>
    <row r="173" spans="1:18" s="57" customFormat="1" ht="64.5" customHeight="1">
      <c r="A173" s="62"/>
      <c r="B173" s="263" t="s">
        <v>574</v>
      </c>
      <c r="C173" s="264">
        <f>1221001.93/1000</f>
        <v>1221</v>
      </c>
      <c r="D173" s="133">
        <f t="shared" si="52"/>
        <v>1221</v>
      </c>
      <c r="E173" s="264">
        <f>1172161.85/1000</f>
        <v>1172.2</v>
      </c>
      <c r="F173" s="264">
        <f>36630.06/1000</f>
        <v>36.6</v>
      </c>
      <c r="G173" s="264">
        <f>12210.02/1000</f>
        <v>12.2</v>
      </c>
      <c r="H173" s="133">
        <f t="shared" si="46"/>
        <v>1221</v>
      </c>
      <c r="I173" s="265">
        <f t="shared" si="47"/>
        <v>1172.2</v>
      </c>
      <c r="J173" s="265">
        <f t="shared" si="47"/>
        <v>36.6</v>
      </c>
      <c r="K173" s="265">
        <f t="shared" si="47"/>
        <v>12.2</v>
      </c>
      <c r="L173" s="133">
        <f t="shared" si="48"/>
        <v>1221</v>
      </c>
      <c r="M173" s="133">
        <f t="shared" si="51"/>
        <v>1172.2</v>
      </c>
      <c r="N173" s="133">
        <f t="shared" si="51"/>
        <v>36.6</v>
      </c>
      <c r="O173" s="133">
        <f t="shared" si="51"/>
        <v>12.2</v>
      </c>
      <c r="P173" s="210">
        <f t="shared" si="49"/>
        <v>1</v>
      </c>
      <c r="Q173" s="210">
        <f t="shared" si="50"/>
        <v>1</v>
      </c>
      <c r="R173" s="56"/>
    </row>
    <row r="174" spans="1:18" s="57" customFormat="1" ht="64.5" customHeight="1">
      <c r="A174" s="62"/>
      <c r="B174" s="263" t="s">
        <v>575</v>
      </c>
      <c r="C174" s="264">
        <f>1877841.23/1000</f>
        <v>1877.8</v>
      </c>
      <c r="D174" s="133">
        <f>E174+F174+G174</f>
        <v>1877.8</v>
      </c>
      <c r="E174" s="264">
        <f>1802727.58/1000</f>
        <v>1802.7</v>
      </c>
      <c r="F174" s="264">
        <f>56335.24/1000</f>
        <v>56.3</v>
      </c>
      <c r="G174" s="264">
        <f>18778.41/1000</f>
        <v>18.8</v>
      </c>
      <c r="H174" s="133">
        <f t="shared" si="46"/>
        <v>1877.8</v>
      </c>
      <c r="I174" s="265">
        <f t="shared" si="47"/>
        <v>1802.7</v>
      </c>
      <c r="J174" s="265">
        <f t="shared" si="47"/>
        <v>56.3</v>
      </c>
      <c r="K174" s="265">
        <f t="shared" si="47"/>
        <v>18.8</v>
      </c>
      <c r="L174" s="133">
        <f t="shared" si="48"/>
        <v>1877.8</v>
      </c>
      <c r="M174" s="133">
        <f t="shared" si="51"/>
        <v>1802.7</v>
      </c>
      <c r="N174" s="133">
        <f t="shared" si="51"/>
        <v>56.3</v>
      </c>
      <c r="O174" s="133">
        <f t="shared" si="51"/>
        <v>18.8</v>
      </c>
      <c r="P174" s="210">
        <f t="shared" si="49"/>
        <v>1</v>
      </c>
      <c r="Q174" s="210">
        <f t="shared" si="50"/>
        <v>1</v>
      </c>
      <c r="R174" s="56"/>
    </row>
    <row r="175" spans="1:18" s="57" customFormat="1" ht="64.5" customHeight="1">
      <c r="A175" s="62"/>
      <c r="B175" s="263" t="s">
        <v>576</v>
      </c>
      <c r="C175" s="264">
        <f>208333.33/1000</f>
        <v>208.3</v>
      </c>
      <c r="D175" s="133">
        <f t="shared" si="52"/>
        <v>208.4</v>
      </c>
      <c r="E175" s="264">
        <f>200000/1000</f>
        <v>200</v>
      </c>
      <c r="F175" s="264">
        <f>6250/1000</f>
        <v>6.3</v>
      </c>
      <c r="G175" s="264">
        <f>2083.33/1000</f>
        <v>2.1</v>
      </c>
      <c r="H175" s="133">
        <f t="shared" si="46"/>
        <v>208.4</v>
      </c>
      <c r="I175" s="265">
        <f t="shared" si="47"/>
        <v>200</v>
      </c>
      <c r="J175" s="265">
        <f t="shared" si="47"/>
        <v>6.3</v>
      </c>
      <c r="K175" s="265">
        <f t="shared" si="47"/>
        <v>2.1</v>
      </c>
      <c r="L175" s="133">
        <f t="shared" si="48"/>
        <v>208.4</v>
      </c>
      <c r="M175" s="133">
        <f t="shared" si="51"/>
        <v>200</v>
      </c>
      <c r="N175" s="133">
        <f t="shared" si="51"/>
        <v>6.3</v>
      </c>
      <c r="O175" s="133">
        <f t="shared" si="51"/>
        <v>2.1</v>
      </c>
      <c r="P175" s="210">
        <f t="shared" si="49"/>
        <v>1</v>
      </c>
      <c r="Q175" s="210">
        <f t="shared" si="50"/>
        <v>1</v>
      </c>
      <c r="R175" s="56"/>
    </row>
    <row r="176" spans="1:18" s="57" customFormat="1" ht="64.5" customHeight="1">
      <c r="A176" s="62"/>
      <c r="B176" s="263" t="s">
        <v>577</v>
      </c>
      <c r="C176" s="264">
        <f>301534.57/1000</f>
        <v>301.5</v>
      </c>
      <c r="D176" s="133">
        <f t="shared" si="52"/>
        <v>301.5</v>
      </c>
      <c r="E176" s="264">
        <f>289473.19/1000</f>
        <v>289.5</v>
      </c>
      <c r="F176" s="264">
        <f>9046.04/1000</f>
        <v>9</v>
      </c>
      <c r="G176" s="264">
        <f>3015.34/1000</f>
        <v>3</v>
      </c>
      <c r="H176" s="133">
        <f t="shared" si="46"/>
        <v>301.5</v>
      </c>
      <c r="I176" s="265">
        <f t="shared" si="47"/>
        <v>289.5</v>
      </c>
      <c r="J176" s="265">
        <f t="shared" si="47"/>
        <v>9</v>
      </c>
      <c r="K176" s="265">
        <f t="shared" si="47"/>
        <v>3</v>
      </c>
      <c r="L176" s="133">
        <f t="shared" si="48"/>
        <v>301.5</v>
      </c>
      <c r="M176" s="133">
        <f t="shared" si="51"/>
        <v>289.5</v>
      </c>
      <c r="N176" s="133">
        <f t="shared" si="51"/>
        <v>9</v>
      </c>
      <c r="O176" s="133">
        <f t="shared" si="51"/>
        <v>3</v>
      </c>
      <c r="P176" s="210">
        <f t="shared" si="49"/>
        <v>1</v>
      </c>
      <c r="Q176" s="210">
        <f t="shared" si="50"/>
        <v>1</v>
      </c>
      <c r="R176" s="56"/>
    </row>
    <row r="177" spans="1:18" s="57" customFormat="1" ht="64.5" customHeight="1">
      <c r="A177" s="62"/>
      <c r="B177" s="263" t="s">
        <v>578</v>
      </c>
      <c r="C177" s="264">
        <f>362453.64/1000</f>
        <v>362.5</v>
      </c>
      <c r="D177" s="133">
        <f>E177+F177+G177</f>
        <v>362.5</v>
      </c>
      <c r="E177" s="264">
        <f>347955.49/1000</f>
        <v>348</v>
      </c>
      <c r="F177" s="264">
        <f>10873.61/1000</f>
        <v>10.9</v>
      </c>
      <c r="G177" s="264">
        <f>3624.54/1000</f>
        <v>3.6</v>
      </c>
      <c r="H177" s="133">
        <f t="shared" si="46"/>
        <v>362.5</v>
      </c>
      <c r="I177" s="265">
        <f t="shared" si="47"/>
        <v>348</v>
      </c>
      <c r="J177" s="265">
        <f t="shared" si="47"/>
        <v>10.9</v>
      </c>
      <c r="K177" s="265">
        <f t="shared" si="47"/>
        <v>3.6</v>
      </c>
      <c r="L177" s="133">
        <f t="shared" si="48"/>
        <v>362.5</v>
      </c>
      <c r="M177" s="133">
        <f t="shared" si="51"/>
        <v>348</v>
      </c>
      <c r="N177" s="133">
        <f t="shared" si="51"/>
        <v>10.9</v>
      </c>
      <c r="O177" s="133">
        <f t="shared" si="51"/>
        <v>3.6</v>
      </c>
      <c r="P177" s="210">
        <f t="shared" si="49"/>
        <v>1</v>
      </c>
      <c r="Q177" s="210">
        <f t="shared" si="50"/>
        <v>1</v>
      </c>
      <c r="R177" s="56"/>
    </row>
    <row r="178" spans="1:18" s="57" customFormat="1" ht="63" customHeight="1">
      <c r="A178" s="62"/>
      <c r="B178" s="268" t="s">
        <v>579</v>
      </c>
      <c r="C178" s="267">
        <f>146175/1000</f>
        <v>146.19999999999999</v>
      </c>
      <c r="D178" s="133">
        <f t="shared" si="52"/>
        <v>146.19999999999999</v>
      </c>
      <c r="E178" s="267">
        <f>140328/1000</f>
        <v>140.30000000000001</v>
      </c>
      <c r="F178" s="267">
        <f>4385.25/1000</f>
        <v>4.4000000000000004</v>
      </c>
      <c r="G178" s="267">
        <f>1461.75/1000</f>
        <v>1.5</v>
      </c>
      <c r="H178" s="133">
        <f t="shared" si="46"/>
        <v>146.19999999999999</v>
      </c>
      <c r="I178" s="265">
        <f t="shared" si="47"/>
        <v>140.30000000000001</v>
      </c>
      <c r="J178" s="265">
        <f t="shared" si="47"/>
        <v>4.4000000000000004</v>
      </c>
      <c r="K178" s="265">
        <f t="shared" si="47"/>
        <v>1.5</v>
      </c>
      <c r="L178" s="133">
        <f t="shared" si="48"/>
        <v>146.19999999999999</v>
      </c>
      <c r="M178" s="133">
        <f t="shared" si="51"/>
        <v>140.30000000000001</v>
      </c>
      <c r="N178" s="133">
        <f t="shared" si="51"/>
        <v>4.4000000000000004</v>
      </c>
      <c r="O178" s="133">
        <f t="shared" si="51"/>
        <v>1.5</v>
      </c>
      <c r="P178" s="210">
        <f t="shared" si="49"/>
        <v>1</v>
      </c>
      <c r="Q178" s="210">
        <f t="shared" si="50"/>
        <v>1</v>
      </c>
      <c r="R178" s="56"/>
    </row>
    <row r="179" spans="1:18" s="57" customFormat="1" ht="81" customHeight="1">
      <c r="A179" s="74" t="s">
        <v>247</v>
      </c>
      <c r="B179" s="113" t="s">
        <v>248</v>
      </c>
      <c r="C179" s="132">
        <f>C180+C182</f>
        <v>3946.4</v>
      </c>
      <c r="D179" s="132">
        <f>D180+D182</f>
        <v>3946.4</v>
      </c>
      <c r="E179" s="132">
        <f t="shared" ref="E179:O179" si="53">E180</f>
        <v>0</v>
      </c>
      <c r="F179" s="132">
        <f>F180+F182</f>
        <v>3946.4</v>
      </c>
      <c r="G179" s="132">
        <f t="shared" si="53"/>
        <v>0</v>
      </c>
      <c r="H179" s="132">
        <f t="shared" si="53"/>
        <v>706.4</v>
      </c>
      <c r="I179" s="132">
        <f t="shared" si="53"/>
        <v>0</v>
      </c>
      <c r="J179" s="132">
        <f t="shared" si="53"/>
        <v>706.4</v>
      </c>
      <c r="K179" s="132">
        <f t="shared" si="53"/>
        <v>0</v>
      </c>
      <c r="L179" s="132">
        <f t="shared" si="53"/>
        <v>706.4</v>
      </c>
      <c r="M179" s="132">
        <f t="shared" si="53"/>
        <v>0</v>
      </c>
      <c r="N179" s="132">
        <f t="shared" si="53"/>
        <v>706.4</v>
      </c>
      <c r="O179" s="132">
        <f t="shared" si="53"/>
        <v>0</v>
      </c>
      <c r="P179" s="134">
        <f t="shared" si="49"/>
        <v>0.17899999999999999</v>
      </c>
      <c r="Q179" s="134">
        <f t="shared" si="50"/>
        <v>0.17899999999999999</v>
      </c>
      <c r="R179" s="56"/>
    </row>
    <row r="180" spans="1:18" s="57" customFormat="1" ht="68.25" customHeight="1">
      <c r="A180" s="62" t="s">
        <v>249</v>
      </c>
      <c r="B180" s="63" t="s">
        <v>250</v>
      </c>
      <c r="C180" s="107">
        <f>C181</f>
        <v>706.4</v>
      </c>
      <c r="D180" s="107">
        <f t="shared" ref="D180:O180" si="54">D181</f>
        <v>706.4</v>
      </c>
      <c r="E180" s="107">
        <f t="shared" si="54"/>
        <v>0</v>
      </c>
      <c r="F180" s="107">
        <f t="shared" si="54"/>
        <v>706.4</v>
      </c>
      <c r="G180" s="107">
        <f t="shared" si="54"/>
        <v>0</v>
      </c>
      <c r="H180" s="107">
        <f t="shared" si="54"/>
        <v>706.4</v>
      </c>
      <c r="I180" s="107">
        <f t="shared" si="54"/>
        <v>0</v>
      </c>
      <c r="J180" s="107">
        <f t="shared" si="54"/>
        <v>706.4</v>
      </c>
      <c r="K180" s="107">
        <f t="shared" si="54"/>
        <v>0</v>
      </c>
      <c r="L180" s="107">
        <f t="shared" si="54"/>
        <v>706.4</v>
      </c>
      <c r="M180" s="107">
        <f t="shared" si="54"/>
        <v>0</v>
      </c>
      <c r="N180" s="107">
        <f t="shared" si="54"/>
        <v>706.4</v>
      </c>
      <c r="O180" s="107">
        <f t="shared" si="54"/>
        <v>0</v>
      </c>
      <c r="P180" s="210">
        <f t="shared" si="49"/>
        <v>1</v>
      </c>
      <c r="Q180" s="210">
        <f t="shared" si="50"/>
        <v>1</v>
      </c>
      <c r="R180" s="56"/>
    </row>
    <row r="181" spans="1:18" s="57" customFormat="1" ht="68.25" customHeight="1">
      <c r="A181" s="62"/>
      <c r="B181" s="63" t="s">
        <v>251</v>
      </c>
      <c r="C181" s="107">
        <v>706.4</v>
      </c>
      <c r="D181" s="108">
        <f>E181+F181+G181</f>
        <v>706.4</v>
      </c>
      <c r="E181" s="108">
        <v>0</v>
      </c>
      <c r="F181" s="109">
        <v>706.4</v>
      </c>
      <c r="G181" s="110">
        <v>0</v>
      </c>
      <c r="H181" s="108">
        <f>J181</f>
        <v>706.4</v>
      </c>
      <c r="I181" s="111">
        <v>0</v>
      </c>
      <c r="J181" s="111">
        <f>F181</f>
        <v>706.4</v>
      </c>
      <c r="K181" s="111">
        <v>0</v>
      </c>
      <c r="L181" s="108">
        <f>H181</f>
        <v>706.4</v>
      </c>
      <c r="M181" s="111">
        <v>0</v>
      </c>
      <c r="N181" s="111">
        <f>J181</f>
        <v>706.4</v>
      </c>
      <c r="O181" s="110">
        <v>0</v>
      </c>
      <c r="P181" s="210">
        <f t="shared" si="49"/>
        <v>1</v>
      </c>
      <c r="Q181" s="210">
        <f t="shared" si="50"/>
        <v>1</v>
      </c>
      <c r="R181" s="56"/>
    </row>
    <row r="182" spans="1:18" s="57" customFormat="1" ht="68.25" customHeight="1">
      <c r="A182" s="62" t="s">
        <v>424</v>
      </c>
      <c r="B182" s="63" t="s">
        <v>425</v>
      </c>
      <c r="C182" s="107">
        <f>C183</f>
        <v>3240</v>
      </c>
      <c r="D182" s="108">
        <f>F182</f>
        <v>3240</v>
      </c>
      <c r="E182" s="108">
        <v>0</v>
      </c>
      <c r="F182" s="109">
        <f>C182</f>
        <v>3240</v>
      </c>
      <c r="G182" s="110">
        <v>0</v>
      </c>
      <c r="H182" s="108">
        <v>0</v>
      </c>
      <c r="I182" s="111">
        <v>0</v>
      </c>
      <c r="J182" s="111">
        <v>0</v>
      </c>
      <c r="K182" s="111">
        <v>0</v>
      </c>
      <c r="L182" s="108">
        <v>0</v>
      </c>
      <c r="M182" s="111">
        <v>0</v>
      </c>
      <c r="N182" s="111">
        <v>0</v>
      </c>
      <c r="O182" s="110">
        <v>0</v>
      </c>
      <c r="P182" s="210">
        <f t="shared" si="49"/>
        <v>0</v>
      </c>
      <c r="Q182" s="210">
        <f t="shared" si="50"/>
        <v>0</v>
      </c>
      <c r="R182" s="56"/>
    </row>
    <row r="183" spans="1:18" s="57" customFormat="1" ht="68.25" customHeight="1">
      <c r="A183" s="62"/>
      <c r="B183" s="63" t="s">
        <v>426</v>
      </c>
      <c r="C183" s="196">
        <v>3240</v>
      </c>
      <c r="D183" s="108">
        <f>F183</f>
        <v>3240</v>
      </c>
      <c r="E183" s="108">
        <v>0</v>
      </c>
      <c r="F183" s="109">
        <f>C183</f>
        <v>3240</v>
      </c>
      <c r="G183" s="110">
        <v>0</v>
      </c>
      <c r="H183" s="108">
        <v>0</v>
      </c>
      <c r="I183" s="111">
        <v>0</v>
      </c>
      <c r="J183" s="111">
        <v>0</v>
      </c>
      <c r="K183" s="111">
        <v>0</v>
      </c>
      <c r="L183" s="108">
        <v>0</v>
      </c>
      <c r="M183" s="111">
        <v>0</v>
      </c>
      <c r="N183" s="111">
        <v>0</v>
      </c>
      <c r="O183" s="110">
        <v>0</v>
      </c>
      <c r="P183" s="210">
        <f t="shared" si="49"/>
        <v>0</v>
      </c>
      <c r="Q183" s="210">
        <f t="shared" si="50"/>
        <v>0</v>
      </c>
      <c r="R183" s="56"/>
    </row>
    <row r="184" spans="1:18" s="57" customFormat="1" ht="75.75" hidden="1" customHeight="1">
      <c r="A184" s="74" t="s">
        <v>252</v>
      </c>
      <c r="B184" s="75" t="s">
        <v>253</v>
      </c>
      <c r="C184" s="102">
        <f>C185</f>
        <v>0</v>
      </c>
      <c r="D184" s="102">
        <v>0</v>
      </c>
      <c r="E184" s="102">
        <f t="shared" ref="E184:O184" si="55">E185</f>
        <v>0</v>
      </c>
      <c r="F184" s="102">
        <f t="shared" si="55"/>
        <v>0</v>
      </c>
      <c r="G184" s="102">
        <f t="shared" si="55"/>
        <v>0</v>
      </c>
      <c r="H184" s="102">
        <f t="shared" si="55"/>
        <v>0</v>
      </c>
      <c r="I184" s="102">
        <f t="shared" si="55"/>
        <v>0</v>
      </c>
      <c r="J184" s="102">
        <f t="shared" si="55"/>
        <v>0</v>
      </c>
      <c r="K184" s="102">
        <f t="shared" si="55"/>
        <v>0</v>
      </c>
      <c r="L184" s="102">
        <f t="shared" si="55"/>
        <v>0</v>
      </c>
      <c r="M184" s="102">
        <f t="shared" si="55"/>
        <v>0</v>
      </c>
      <c r="N184" s="102">
        <f t="shared" si="55"/>
        <v>0</v>
      </c>
      <c r="O184" s="102">
        <f t="shared" si="55"/>
        <v>0</v>
      </c>
      <c r="P184" s="97">
        <v>0</v>
      </c>
      <c r="Q184" s="126">
        <v>0</v>
      </c>
      <c r="R184" s="56"/>
    </row>
    <row r="185" spans="1:18" s="57" customFormat="1" ht="56.25" hidden="1" customHeight="1">
      <c r="A185" s="62" t="s">
        <v>254</v>
      </c>
      <c r="B185" s="63" t="s">
        <v>255</v>
      </c>
      <c r="C185" s="107">
        <v>0</v>
      </c>
      <c r="D185" s="108">
        <v>0</v>
      </c>
      <c r="E185" s="108">
        <v>0</v>
      </c>
      <c r="F185" s="109">
        <v>0</v>
      </c>
      <c r="G185" s="110">
        <v>0</v>
      </c>
      <c r="H185" s="108">
        <v>0</v>
      </c>
      <c r="I185" s="111">
        <v>0</v>
      </c>
      <c r="J185" s="111">
        <v>0</v>
      </c>
      <c r="K185" s="111">
        <v>0</v>
      </c>
      <c r="L185" s="108">
        <v>0</v>
      </c>
      <c r="M185" s="111">
        <v>0</v>
      </c>
      <c r="N185" s="111">
        <v>0</v>
      </c>
      <c r="O185" s="110">
        <v>0</v>
      </c>
      <c r="P185" s="100">
        <v>0</v>
      </c>
      <c r="Q185" s="129">
        <v>0</v>
      </c>
      <c r="R185" s="56"/>
    </row>
    <row r="186" spans="1:18" s="78" customFormat="1" ht="68.25" hidden="1" customHeight="1">
      <c r="A186" s="74" t="s">
        <v>427</v>
      </c>
      <c r="B186" s="75" t="s">
        <v>428</v>
      </c>
      <c r="C186" s="102"/>
      <c r="D186" s="103"/>
      <c r="E186" s="103"/>
      <c r="F186" s="104"/>
      <c r="G186" s="105"/>
      <c r="H186" s="103"/>
      <c r="I186" s="106"/>
      <c r="J186" s="106"/>
      <c r="K186" s="106"/>
      <c r="L186" s="103"/>
      <c r="M186" s="106"/>
      <c r="N186" s="106"/>
      <c r="O186" s="105"/>
      <c r="P186" s="97"/>
      <c r="Q186" s="126"/>
      <c r="R186" s="77"/>
    </row>
    <row r="187" spans="1:18" s="57" customFormat="1" ht="53.25" hidden="1" customHeight="1">
      <c r="A187" s="62" t="s">
        <v>429</v>
      </c>
      <c r="B187" s="63" t="s">
        <v>430</v>
      </c>
      <c r="C187" s="107"/>
      <c r="D187" s="108"/>
      <c r="E187" s="108"/>
      <c r="F187" s="109"/>
      <c r="G187" s="110"/>
      <c r="H187" s="108"/>
      <c r="I187" s="111"/>
      <c r="J187" s="111"/>
      <c r="K187" s="111"/>
      <c r="L187" s="108"/>
      <c r="M187" s="111"/>
      <c r="N187" s="111"/>
      <c r="O187" s="110"/>
      <c r="P187" s="100"/>
      <c r="Q187" s="129"/>
      <c r="R187" s="56"/>
    </row>
    <row r="188" spans="1:18" s="57" customFormat="1" ht="45" hidden="1" customHeight="1">
      <c r="A188" s="62"/>
      <c r="B188" s="63" t="s">
        <v>431</v>
      </c>
      <c r="C188" s="107"/>
      <c r="D188" s="108"/>
      <c r="E188" s="108"/>
      <c r="F188" s="109"/>
      <c r="G188" s="110"/>
      <c r="H188" s="108"/>
      <c r="I188" s="111"/>
      <c r="J188" s="111"/>
      <c r="K188" s="111"/>
      <c r="L188" s="108"/>
      <c r="M188" s="111"/>
      <c r="N188" s="111"/>
      <c r="O188" s="110"/>
      <c r="P188" s="100"/>
      <c r="Q188" s="129"/>
      <c r="R188" s="56"/>
    </row>
    <row r="189" spans="1:18" s="57" customFormat="1" ht="45.75" customHeight="1">
      <c r="A189" s="62"/>
      <c r="B189" s="115" t="s">
        <v>256</v>
      </c>
      <c r="C189" s="102">
        <f>C184+C179+C140</f>
        <v>38909.800000000003</v>
      </c>
      <c r="D189" s="102">
        <f t="shared" ref="D189:O189" si="56">D184+D179+D140</f>
        <v>38909.800000000003</v>
      </c>
      <c r="E189" s="102">
        <f t="shared" si="56"/>
        <v>33564.699999999997</v>
      </c>
      <c r="F189" s="102">
        <f t="shared" si="56"/>
        <v>4995.3999999999996</v>
      </c>
      <c r="G189" s="102">
        <f t="shared" si="56"/>
        <v>349.7</v>
      </c>
      <c r="H189" s="102">
        <f t="shared" si="56"/>
        <v>35669.9</v>
      </c>
      <c r="I189" s="102">
        <f t="shared" si="56"/>
        <v>33564.699999999997</v>
      </c>
      <c r="J189" s="102">
        <f t="shared" si="56"/>
        <v>1755.5</v>
      </c>
      <c r="K189" s="102">
        <f t="shared" si="56"/>
        <v>349.7</v>
      </c>
      <c r="L189" s="102">
        <f t="shared" si="56"/>
        <v>35669.9</v>
      </c>
      <c r="M189" s="102">
        <f t="shared" si="56"/>
        <v>33564.699999999997</v>
      </c>
      <c r="N189" s="102">
        <f t="shared" si="56"/>
        <v>1755.5</v>
      </c>
      <c r="O189" s="102">
        <f t="shared" si="56"/>
        <v>349.7</v>
      </c>
      <c r="P189" s="97">
        <f>H189/D189</f>
        <v>0.91700000000000004</v>
      </c>
      <c r="Q189" s="126">
        <f>L189/D189</f>
        <v>0.91700000000000004</v>
      </c>
      <c r="R189" s="56"/>
    </row>
    <row r="190" spans="1:18" s="57" customFormat="1" ht="45.75" customHeight="1">
      <c r="A190" s="123"/>
      <c r="B190" s="289" t="s">
        <v>54</v>
      </c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1"/>
      <c r="R190" s="56"/>
    </row>
    <row r="191" spans="1:18" s="57" customFormat="1" ht="114" customHeight="1">
      <c r="A191" s="118" t="s">
        <v>257</v>
      </c>
      <c r="B191" s="113" t="s">
        <v>258</v>
      </c>
      <c r="C191" s="131">
        <f>C192+C193+C201+C202+C208+C209+C210+C211+C212+C214</f>
        <v>94775.9</v>
      </c>
      <c r="D191" s="131">
        <f t="shared" ref="D191:O191" si="57">D192+D193+D201+D202+D208+D209+D210+D211+D212+D214</f>
        <v>94775.9</v>
      </c>
      <c r="E191" s="131">
        <f t="shared" si="57"/>
        <v>3196.4</v>
      </c>
      <c r="F191" s="131">
        <f t="shared" si="57"/>
        <v>91579.5</v>
      </c>
      <c r="G191" s="131">
        <f t="shared" si="57"/>
        <v>0</v>
      </c>
      <c r="H191" s="131">
        <f t="shared" si="57"/>
        <v>92893.9</v>
      </c>
      <c r="I191" s="131">
        <f t="shared" si="57"/>
        <v>3196.3</v>
      </c>
      <c r="J191" s="131">
        <f t="shared" si="57"/>
        <v>89697.600000000006</v>
      </c>
      <c r="K191" s="131">
        <f t="shared" si="57"/>
        <v>0</v>
      </c>
      <c r="L191" s="131">
        <f t="shared" si="57"/>
        <v>92893.9</v>
      </c>
      <c r="M191" s="131">
        <f t="shared" si="57"/>
        <v>3196.3</v>
      </c>
      <c r="N191" s="131">
        <f t="shared" si="57"/>
        <v>89697.600000000006</v>
      </c>
      <c r="O191" s="131">
        <f t="shared" si="57"/>
        <v>0</v>
      </c>
      <c r="P191" s="97">
        <f>H191/D191</f>
        <v>0.98</v>
      </c>
      <c r="Q191" s="126">
        <f>L191/D191</f>
        <v>0.98</v>
      </c>
      <c r="R191" s="56"/>
    </row>
    <row r="192" spans="1:18" s="57" customFormat="1" ht="48.75" customHeight="1">
      <c r="A192" s="135" t="s">
        <v>259</v>
      </c>
      <c r="B192" s="112" t="s">
        <v>260</v>
      </c>
      <c r="C192" s="130">
        <v>21749.4</v>
      </c>
      <c r="D192" s="108">
        <f t="shared" ref="D192:D201" si="58">F192</f>
        <v>21749.4</v>
      </c>
      <c r="E192" s="108">
        <v>0</v>
      </c>
      <c r="F192" s="109">
        <f>C192</f>
        <v>21749.4</v>
      </c>
      <c r="G192" s="136">
        <v>0</v>
      </c>
      <c r="H192" s="108">
        <f t="shared" ref="H192:H201" si="59">J192</f>
        <v>21715</v>
      </c>
      <c r="I192" s="108">
        <v>0</v>
      </c>
      <c r="J192" s="108">
        <v>21715</v>
      </c>
      <c r="K192" s="108">
        <v>0</v>
      </c>
      <c r="L192" s="108">
        <f t="shared" ref="L192:L201" si="60">N192</f>
        <v>21715</v>
      </c>
      <c r="M192" s="108">
        <v>0</v>
      </c>
      <c r="N192" s="108">
        <f>J192</f>
        <v>21715</v>
      </c>
      <c r="O192" s="136">
        <v>0</v>
      </c>
      <c r="P192" s="100">
        <f>H192/D192</f>
        <v>0.998</v>
      </c>
      <c r="Q192" s="129">
        <f>L192/D192</f>
        <v>0.998</v>
      </c>
      <c r="R192" s="56"/>
    </row>
    <row r="193" spans="1:18" s="57" customFormat="1" ht="48.75" customHeight="1">
      <c r="A193" s="135" t="s">
        <v>261</v>
      </c>
      <c r="B193" s="112" t="s">
        <v>211</v>
      </c>
      <c r="C193" s="130">
        <f t="shared" ref="C193:O193" si="61">C194+C200</f>
        <v>35979.599999999999</v>
      </c>
      <c r="D193" s="130">
        <f t="shared" si="61"/>
        <v>35979.599999999999</v>
      </c>
      <c r="E193" s="130">
        <f t="shared" si="61"/>
        <v>0</v>
      </c>
      <c r="F193" s="109">
        <f t="shared" ref="F193:F200" si="62">C193</f>
        <v>35979.599999999999</v>
      </c>
      <c r="G193" s="130">
        <f t="shared" si="61"/>
        <v>0</v>
      </c>
      <c r="H193" s="130">
        <f t="shared" si="61"/>
        <v>35979.599999999999</v>
      </c>
      <c r="I193" s="130">
        <f t="shared" si="61"/>
        <v>0</v>
      </c>
      <c r="J193" s="130">
        <f t="shared" si="61"/>
        <v>35979.599999999999</v>
      </c>
      <c r="K193" s="130">
        <f t="shared" si="61"/>
        <v>0</v>
      </c>
      <c r="L193" s="130">
        <f t="shared" si="61"/>
        <v>35979.599999999999</v>
      </c>
      <c r="M193" s="130">
        <f t="shared" si="61"/>
        <v>0</v>
      </c>
      <c r="N193" s="130">
        <f t="shared" si="61"/>
        <v>35979.599999999999</v>
      </c>
      <c r="O193" s="130">
        <f t="shared" si="61"/>
        <v>0</v>
      </c>
      <c r="P193" s="100">
        <f>H193/D193</f>
        <v>1</v>
      </c>
      <c r="Q193" s="129">
        <f>L193/D193</f>
        <v>1</v>
      </c>
      <c r="R193" s="56"/>
    </row>
    <row r="194" spans="1:18" s="57" customFormat="1" ht="48.75" customHeight="1">
      <c r="A194" s="135"/>
      <c r="B194" s="112" t="s">
        <v>211</v>
      </c>
      <c r="C194" s="130">
        <f>C195+C196+C198+C199</f>
        <v>35795.300000000003</v>
      </c>
      <c r="D194" s="108">
        <f>F194</f>
        <v>35795.300000000003</v>
      </c>
      <c r="E194" s="108">
        <v>0</v>
      </c>
      <c r="F194" s="109">
        <f t="shared" si="62"/>
        <v>35795.300000000003</v>
      </c>
      <c r="G194" s="136">
        <v>0</v>
      </c>
      <c r="H194" s="108">
        <f>J194</f>
        <v>35795.300000000003</v>
      </c>
      <c r="I194" s="108">
        <v>0</v>
      </c>
      <c r="J194" s="108">
        <v>35795.300000000003</v>
      </c>
      <c r="K194" s="108">
        <v>0</v>
      </c>
      <c r="L194" s="108">
        <f>N194</f>
        <v>35795.300000000003</v>
      </c>
      <c r="M194" s="108">
        <v>0</v>
      </c>
      <c r="N194" s="108">
        <f>J194</f>
        <v>35795.300000000003</v>
      </c>
      <c r="O194" s="136">
        <v>0</v>
      </c>
      <c r="P194" s="100">
        <f>H194/D194</f>
        <v>1</v>
      </c>
      <c r="Q194" s="129">
        <f>L194/D194</f>
        <v>1</v>
      </c>
      <c r="R194" s="56"/>
    </row>
    <row r="195" spans="1:18" s="57" customFormat="1" ht="48.75" customHeight="1">
      <c r="A195" s="135"/>
      <c r="B195" s="112" t="s">
        <v>262</v>
      </c>
      <c r="C195" s="211">
        <v>6453</v>
      </c>
      <c r="D195" s="111">
        <f t="shared" si="58"/>
        <v>6453</v>
      </c>
      <c r="E195" s="111">
        <v>0</v>
      </c>
      <c r="F195" s="109">
        <f t="shared" si="62"/>
        <v>6453</v>
      </c>
      <c r="G195" s="110">
        <v>0</v>
      </c>
      <c r="H195" s="111">
        <f t="shared" si="59"/>
        <v>6453</v>
      </c>
      <c r="I195" s="111">
        <v>0</v>
      </c>
      <c r="J195" s="111">
        <f t="shared" ref="J195:J200" si="63">F195</f>
        <v>6453</v>
      </c>
      <c r="K195" s="111">
        <v>0</v>
      </c>
      <c r="L195" s="111">
        <f t="shared" si="60"/>
        <v>6453</v>
      </c>
      <c r="M195" s="111">
        <v>0</v>
      </c>
      <c r="N195" s="111">
        <f>J195</f>
        <v>6453</v>
      </c>
      <c r="O195" s="110">
        <v>0</v>
      </c>
      <c r="P195" s="100">
        <f t="shared" ref="P195:P207" si="64">H195/D195</f>
        <v>1</v>
      </c>
      <c r="Q195" s="129">
        <f t="shared" ref="Q195:Q207" si="65">L195/D195</f>
        <v>1</v>
      </c>
      <c r="R195" s="56"/>
    </row>
    <row r="196" spans="1:18" s="57" customFormat="1" ht="37.9" customHeight="1">
      <c r="A196" s="135"/>
      <c r="B196" s="112" t="s">
        <v>263</v>
      </c>
      <c r="C196" s="211">
        <v>21519.8</v>
      </c>
      <c r="D196" s="111">
        <f t="shared" si="58"/>
        <v>21519.8</v>
      </c>
      <c r="E196" s="111">
        <v>0</v>
      </c>
      <c r="F196" s="109">
        <f t="shared" si="62"/>
        <v>21519.8</v>
      </c>
      <c r="G196" s="110">
        <v>0</v>
      </c>
      <c r="H196" s="111">
        <f t="shared" si="59"/>
        <v>21519.8</v>
      </c>
      <c r="I196" s="111">
        <v>0</v>
      </c>
      <c r="J196" s="111">
        <f t="shared" si="63"/>
        <v>21519.8</v>
      </c>
      <c r="K196" s="111">
        <v>0</v>
      </c>
      <c r="L196" s="111">
        <f t="shared" si="60"/>
        <v>21519.8</v>
      </c>
      <c r="M196" s="111">
        <v>0</v>
      </c>
      <c r="N196" s="111">
        <f>J196</f>
        <v>21519.8</v>
      </c>
      <c r="O196" s="110">
        <v>0</v>
      </c>
      <c r="P196" s="100">
        <f t="shared" si="64"/>
        <v>1</v>
      </c>
      <c r="Q196" s="129">
        <f t="shared" si="65"/>
        <v>1</v>
      </c>
      <c r="R196" s="56"/>
    </row>
    <row r="197" spans="1:18" s="57" customFormat="1" ht="48.75" hidden="1" customHeight="1">
      <c r="A197" s="135"/>
      <c r="B197" s="112" t="s">
        <v>264</v>
      </c>
      <c r="C197" s="211">
        <v>0</v>
      </c>
      <c r="D197" s="111">
        <f t="shared" si="58"/>
        <v>0</v>
      </c>
      <c r="E197" s="111">
        <v>0</v>
      </c>
      <c r="F197" s="109">
        <f t="shared" si="62"/>
        <v>0</v>
      </c>
      <c r="G197" s="110">
        <v>0</v>
      </c>
      <c r="H197" s="111">
        <f t="shared" si="59"/>
        <v>0</v>
      </c>
      <c r="I197" s="111">
        <v>0</v>
      </c>
      <c r="J197" s="111">
        <f t="shared" si="63"/>
        <v>0</v>
      </c>
      <c r="K197" s="111">
        <v>0</v>
      </c>
      <c r="L197" s="111">
        <f t="shared" si="60"/>
        <v>0</v>
      </c>
      <c r="M197" s="111">
        <v>0</v>
      </c>
      <c r="N197" s="111">
        <v>0</v>
      </c>
      <c r="O197" s="110">
        <v>0</v>
      </c>
      <c r="P197" s="100">
        <v>0</v>
      </c>
      <c r="Q197" s="129">
        <v>0</v>
      </c>
      <c r="R197" s="56"/>
    </row>
    <row r="198" spans="1:18" s="57" customFormat="1" ht="33.6" customHeight="1">
      <c r="A198" s="135"/>
      <c r="B198" s="112" t="s">
        <v>265</v>
      </c>
      <c r="C198" s="211">
        <v>1157.9000000000001</v>
      </c>
      <c r="D198" s="111">
        <f t="shared" si="58"/>
        <v>1157.9000000000001</v>
      </c>
      <c r="E198" s="111">
        <v>0</v>
      </c>
      <c r="F198" s="109">
        <f t="shared" si="62"/>
        <v>1157.9000000000001</v>
      </c>
      <c r="G198" s="110">
        <v>0</v>
      </c>
      <c r="H198" s="111">
        <f t="shared" si="59"/>
        <v>1157.9000000000001</v>
      </c>
      <c r="I198" s="111">
        <v>0</v>
      </c>
      <c r="J198" s="111">
        <f t="shared" si="63"/>
        <v>1157.9000000000001</v>
      </c>
      <c r="K198" s="111">
        <v>0</v>
      </c>
      <c r="L198" s="111">
        <f t="shared" si="60"/>
        <v>1157.9000000000001</v>
      </c>
      <c r="M198" s="111">
        <v>0</v>
      </c>
      <c r="N198" s="111">
        <f>J198</f>
        <v>1157.9000000000001</v>
      </c>
      <c r="O198" s="110">
        <v>0</v>
      </c>
      <c r="P198" s="100">
        <f t="shared" si="64"/>
        <v>1</v>
      </c>
      <c r="Q198" s="129">
        <f t="shared" si="65"/>
        <v>1</v>
      </c>
      <c r="R198" s="56"/>
    </row>
    <row r="199" spans="1:18" s="57" customFormat="1" ht="36.6" customHeight="1">
      <c r="A199" s="135"/>
      <c r="B199" s="112" t="s">
        <v>266</v>
      </c>
      <c r="C199" s="211">
        <v>6664.6</v>
      </c>
      <c r="D199" s="111">
        <f t="shared" si="58"/>
        <v>6664.6</v>
      </c>
      <c r="E199" s="111">
        <v>0</v>
      </c>
      <c r="F199" s="109">
        <f t="shared" si="62"/>
        <v>6664.6</v>
      </c>
      <c r="G199" s="110">
        <v>0</v>
      </c>
      <c r="H199" s="111">
        <f t="shared" si="59"/>
        <v>6664.6</v>
      </c>
      <c r="I199" s="111">
        <v>0</v>
      </c>
      <c r="J199" s="111">
        <f t="shared" si="63"/>
        <v>6664.6</v>
      </c>
      <c r="K199" s="111">
        <v>0</v>
      </c>
      <c r="L199" s="111">
        <f t="shared" si="60"/>
        <v>6664.6</v>
      </c>
      <c r="M199" s="111">
        <v>0</v>
      </c>
      <c r="N199" s="111">
        <f>J199</f>
        <v>6664.6</v>
      </c>
      <c r="O199" s="110">
        <v>0</v>
      </c>
      <c r="P199" s="100">
        <f t="shared" si="64"/>
        <v>1</v>
      </c>
      <c r="Q199" s="129">
        <f t="shared" si="65"/>
        <v>1</v>
      </c>
      <c r="R199" s="56"/>
    </row>
    <row r="200" spans="1:18" s="57" customFormat="1" ht="48.75" customHeight="1">
      <c r="A200" s="135"/>
      <c r="B200" s="112" t="s">
        <v>504</v>
      </c>
      <c r="C200" s="130">
        <v>184.3</v>
      </c>
      <c r="D200" s="108">
        <f t="shared" si="58"/>
        <v>184.3</v>
      </c>
      <c r="E200" s="108">
        <v>0</v>
      </c>
      <c r="F200" s="109">
        <f t="shared" si="62"/>
        <v>184.3</v>
      </c>
      <c r="G200" s="136">
        <v>0</v>
      </c>
      <c r="H200" s="108">
        <f t="shared" si="59"/>
        <v>184.3</v>
      </c>
      <c r="I200" s="108">
        <v>0</v>
      </c>
      <c r="J200" s="108">
        <f t="shared" si="63"/>
        <v>184.3</v>
      </c>
      <c r="K200" s="108">
        <v>0</v>
      </c>
      <c r="L200" s="108">
        <f t="shared" si="60"/>
        <v>184.3</v>
      </c>
      <c r="M200" s="108">
        <v>0</v>
      </c>
      <c r="N200" s="108">
        <f>J200</f>
        <v>184.3</v>
      </c>
      <c r="O200" s="136">
        <v>0</v>
      </c>
      <c r="P200" s="100">
        <f t="shared" si="64"/>
        <v>1</v>
      </c>
      <c r="Q200" s="129">
        <f t="shared" si="65"/>
        <v>1</v>
      </c>
      <c r="R200" s="56"/>
    </row>
    <row r="201" spans="1:18" s="57" customFormat="1" ht="32.450000000000003" customHeight="1">
      <c r="A201" s="135" t="s">
        <v>267</v>
      </c>
      <c r="B201" s="112" t="s">
        <v>268</v>
      </c>
      <c r="C201" s="130">
        <v>1261.5999999999999</v>
      </c>
      <c r="D201" s="108">
        <f t="shared" si="58"/>
        <v>1261.5999999999999</v>
      </c>
      <c r="E201" s="108">
        <v>0</v>
      </c>
      <c r="F201" s="109">
        <f>C201</f>
        <v>1261.5999999999999</v>
      </c>
      <c r="G201" s="136">
        <v>0</v>
      </c>
      <c r="H201" s="108">
        <f t="shared" si="59"/>
        <v>1251.9000000000001</v>
      </c>
      <c r="I201" s="108">
        <v>0</v>
      </c>
      <c r="J201" s="108">
        <v>1251.9000000000001</v>
      </c>
      <c r="K201" s="108">
        <v>0</v>
      </c>
      <c r="L201" s="108">
        <f t="shared" si="60"/>
        <v>1251.9000000000001</v>
      </c>
      <c r="M201" s="108">
        <v>0</v>
      </c>
      <c r="N201" s="108">
        <f>J201</f>
        <v>1251.9000000000001</v>
      </c>
      <c r="O201" s="136">
        <v>0</v>
      </c>
      <c r="P201" s="100">
        <f t="shared" si="64"/>
        <v>0.99199999999999999</v>
      </c>
      <c r="Q201" s="129">
        <f t="shared" si="65"/>
        <v>0.99199999999999999</v>
      </c>
      <c r="R201" s="56"/>
    </row>
    <row r="202" spans="1:18" s="57" customFormat="1" ht="40.9" customHeight="1">
      <c r="A202" s="135" t="s">
        <v>269</v>
      </c>
      <c r="B202" s="112" t="s">
        <v>270</v>
      </c>
      <c r="C202" s="130">
        <f>C203+C204+C205+C206+C207</f>
        <v>24591.9</v>
      </c>
      <c r="D202" s="130">
        <f t="shared" ref="D202:O202" si="66">D203+D204+D205+D206+D207</f>
        <v>24591.9</v>
      </c>
      <c r="E202" s="130">
        <f t="shared" si="66"/>
        <v>0</v>
      </c>
      <c r="F202" s="130">
        <f t="shared" si="66"/>
        <v>24591.9</v>
      </c>
      <c r="G202" s="130">
        <f t="shared" si="66"/>
        <v>0</v>
      </c>
      <c r="H202" s="130">
        <f t="shared" si="66"/>
        <v>24575.5</v>
      </c>
      <c r="I202" s="130">
        <f t="shared" si="66"/>
        <v>0</v>
      </c>
      <c r="J202" s="130">
        <f t="shared" si="66"/>
        <v>24575.5</v>
      </c>
      <c r="K202" s="130">
        <f t="shared" si="66"/>
        <v>0</v>
      </c>
      <c r="L202" s="130">
        <f t="shared" si="66"/>
        <v>24575.5</v>
      </c>
      <c r="M202" s="130">
        <f t="shared" si="66"/>
        <v>0</v>
      </c>
      <c r="N202" s="130">
        <f t="shared" si="66"/>
        <v>24575.5</v>
      </c>
      <c r="O202" s="130">
        <f t="shared" si="66"/>
        <v>0</v>
      </c>
      <c r="P202" s="100">
        <f t="shared" si="64"/>
        <v>0.999</v>
      </c>
      <c r="Q202" s="129">
        <f t="shared" si="65"/>
        <v>0.999</v>
      </c>
      <c r="R202" s="56"/>
    </row>
    <row r="203" spans="1:18" s="57" customFormat="1" ht="41.45" customHeight="1">
      <c r="A203" s="135"/>
      <c r="B203" s="112" t="s">
        <v>270</v>
      </c>
      <c r="C203" s="130">
        <v>15116</v>
      </c>
      <c r="D203" s="108">
        <f t="shared" ref="D203:D210" si="67">F203</f>
        <v>15116</v>
      </c>
      <c r="E203" s="108">
        <v>0</v>
      </c>
      <c r="F203" s="109">
        <f t="shared" ref="F203:F208" si="68">C203</f>
        <v>15116</v>
      </c>
      <c r="G203" s="136">
        <v>0</v>
      </c>
      <c r="H203" s="108">
        <f t="shared" ref="H203:H209" si="69">J203</f>
        <v>15115.9</v>
      </c>
      <c r="I203" s="108">
        <v>0</v>
      </c>
      <c r="J203" s="108">
        <v>15115.9</v>
      </c>
      <c r="K203" s="108">
        <v>0</v>
      </c>
      <c r="L203" s="108">
        <f t="shared" ref="L203:L208" si="70">N203</f>
        <v>15115.9</v>
      </c>
      <c r="M203" s="108">
        <v>0</v>
      </c>
      <c r="N203" s="108">
        <f t="shared" ref="N203:N210" si="71">J203</f>
        <v>15115.9</v>
      </c>
      <c r="O203" s="136">
        <v>0</v>
      </c>
      <c r="P203" s="100">
        <f t="shared" si="64"/>
        <v>1</v>
      </c>
      <c r="Q203" s="129">
        <f t="shared" si="65"/>
        <v>1</v>
      </c>
      <c r="R203" s="56"/>
    </row>
    <row r="204" spans="1:18" s="57" customFormat="1" ht="42.6" customHeight="1">
      <c r="A204" s="135"/>
      <c r="B204" s="112" t="s">
        <v>505</v>
      </c>
      <c r="C204" s="130">
        <v>3352.2</v>
      </c>
      <c r="D204" s="108">
        <f t="shared" si="67"/>
        <v>3352.2</v>
      </c>
      <c r="E204" s="108">
        <v>0</v>
      </c>
      <c r="F204" s="109">
        <f t="shared" si="68"/>
        <v>3352.2</v>
      </c>
      <c r="G204" s="136">
        <v>0</v>
      </c>
      <c r="H204" s="108">
        <f t="shared" si="69"/>
        <v>3285.5</v>
      </c>
      <c r="I204" s="108">
        <v>0</v>
      </c>
      <c r="J204" s="108">
        <v>3285.5</v>
      </c>
      <c r="K204" s="108">
        <v>0</v>
      </c>
      <c r="L204" s="108">
        <f t="shared" si="70"/>
        <v>3285.5</v>
      </c>
      <c r="M204" s="108">
        <v>0</v>
      </c>
      <c r="N204" s="108">
        <f t="shared" si="71"/>
        <v>3285.5</v>
      </c>
      <c r="O204" s="136">
        <v>0</v>
      </c>
      <c r="P204" s="100">
        <f t="shared" si="64"/>
        <v>0.98</v>
      </c>
      <c r="Q204" s="129">
        <f t="shared" si="65"/>
        <v>0.98</v>
      </c>
      <c r="R204" s="56"/>
    </row>
    <row r="205" spans="1:18" s="57" customFormat="1" ht="40.9" customHeight="1">
      <c r="A205" s="135"/>
      <c r="B205" s="112" t="s">
        <v>506</v>
      </c>
      <c r="C205" s="130">
        <v>2183</v>
      </c>
      <c r="D205" s="108">
        <f t="shared" si="67"/>
        <v>2183</v>
      </c>
      <c r="E205" s="108">
        <v>0</v>
      </c>
      <c r="F205" s="109">
        <f t="shared" si="68"/>
        <v>2183</v>
      </c>
      <c r="G205" s="136">
        <v>0</v>
      </c>
      <c r="H205" s="108">
        <f t="shared" si="69"/>
        <v>2246</v>
      </c>
      <c r="I205" s="108">
        <v>0</v>
      </c>
      <c r="J205" s="108">
        <v>2246</v>
      </c>
      <c r="K205" s="108">
        <v>0</v>
      </c>
      <c r="L205" s="108">
        <f t="shared" si="70"/>
        <v>2246</v>
      </c>
      <c r="M205" s="108">
        <v>0</v>
      </c>
      <c r="N205" s="108">
        <f t="shared" si="71"/>
        <v>2246</v>
      </c>
      <c r="O205" s="136">
        <v>0</v>
      </c>
      <c r="P205" s="100">
        <v>1</v>
      </c>
      <c r="Q205" s="129">
        <v>1</v>
      </c>
      <c r="R205" s="56"/>
    </row>
    <row r="206" spans="1:18" s="57" customFormat="1" ht="48.75" customHeight="1">
      <c r="A206" s="135"/>
      <c r="B206" s="112" t="s">
        <v>507</v>
      </c>
      <c r="C206" s="130">
        <v>597.70000000000005</v>
      </c>
      <c r="D206" s="108">
        <f t="shared" si="67"/>
        <v>597.70000000000005</v>
      </c>
      <c r="E206" s="108">
        <v>0</v>
      </c>
      <c r="F206" s="109">
        <f t="shared" si="68"/>
        <v>597.70000000000005</v>
      </c>
      <c r="G206" s="136">
        <v>0</v>
      </c>
      <c r="H206" s="108">
        <f t="shared" si="69"/>
        <v>597.70000000000005</v>
      </c>
      <c r="I206" s="108">
        <v>0</v>
      </c>
      <c r="J206" s="108">
        <v>597.70000000000005</v>
      </c>
      <c r="K206" s="108">
        <v>0</v>
      </c>
      <c r="L206" s="108">
        <f t="shared" si="70"/>
        <v>597.70000000000005</v>
      </c>
      <c r="M206" s="108">
        <v>0</v>
      </c>
      <c r="N206" s="108">
        <f t="shared" si="71"/>
        <v>597.70000000000005</v>
      </c>
      <c r="O206" s="136">
        <v>0</v>
      </c>
      <c r="P206" s="100">
        <f t="shared" si="64"/>
        <v>1</v>
      </c>
      <c r="Q206" s="129">
        <f t="shared" si="65"/>
        <v>1</v>
      </c>
      <c r="R206" s="56"/>
    </row>
    <row r="207" spans="1:18" s="57" customFormat="1" ht="38.450000000000003" customHeight="1">
      <c r="A207" s="135"/>
      <c r="B207" s="112" t="s">
        <v>508</v>
      </c>
      <c r="C207" s="130">
        <v>3343</v>
      </c>
      <c r="D207" s="108">
        <f t="shared" si="67"/>
        <v>3343</v>
      </c>
      <c r="E207" s="108">
        <v>0</v>
      </c>
      <c r="F207" s="109">
        <f t="shared" si="68"/>
        <v>3343</v>
      </c>
      <c r="G207" s="136">
        <v>0</v>
      </c>
      <c r="H207" s="108">
        <f t="shared" si="69"/>
        <v>3330.4</v>
      </c>
      <c r="I207" s="108">
        <v>0</v>
      </c>
      <c r="J207" s="108">
        <v>3330.4</v>
      </c>
      <c r="K207" s="108">
        <v>0</v>
      </c>
      <c r="L207" s="108">
        <f t="shared" si="70"/>
        <v>3330.4</v>
      </c>
      <c r="M207" s="108">
        <v>0</v>
      </c>
      <c r="N207" s="108">
        <f t="shared" si="71"/>
        <v>3330.4</v>
      </c>
      <c r="O207" s="136">
        <v>0</v>
      </c>
      <c r="P207" s="100">
        <f t="shared" si="64"/>
        <v>0.996</v>
      </c>
      <c r="Q207" s="129">
        <f t="shared" si="65"/>
        <v>0.996</v>
      </c>
      <c r="R207" s="56"/>
    </row>
    <row r="208" spans="1:18" s="57" customFormat="1" ht="48.75" customHeight="1">
      <c r="A208" s="135" t="s">
        <v>271</v>
      </c>
      <c r="B208" s="112" t="s">
        <v>272</v>
      </c>
      <c r="C208" s="130">
        <v>1298.2</v>
      </c>
      <c r="D208" s="108">
        <f t="shared" si="67"/>
        <v>1298.2</v>
      </c>
      <c r="E208" s="108">
        <v>0</v>
      </c>
      <c r="F208" s="109">
        <f t="shared" si="68"/>
        <v>1298.2</v>
      </c>
      <c r="G208" s="136">
        <v>0</v>
      </c>
      <c r="H208" s="108">
        <f t="shared" si="69"/>
        <v>1286.9000000000001</v>
      </c>
      <c r="I208" s="108">
        <v>0</v>
      </c>
      <c r="J208" s="108">
        <v>1286.9000000000001</v>
      </c>
      <c r="K208" s="108">
        <v>0</v>
      </c>
      <c r="L208" s="108">
        <f t="shared" si="70"/>
        <v>1286.9000000000001</v>
      </c>
      <c r="M208" s="108">
        <v>0</v>
      </c>
      <c r="N208" s="108">
        <f t="shared" si="71"/>
        <v>1286.9000000000001</v>
      </c>
      <c r="O208" s="136">
        <v>0</v>
      </c>
      <c r="P208" s="100">
        <f>H208/D208</f>
        <v>0.99099999999999999</v>
      </c>
      <c r="Q208" s="129">
        <f>L208/D208</f>
        <v>0.99099999999999999</v>
      </c>
      <c r="R208" s="56"/>
    </row>
    <row r="209" spans="1:18" s="57" customFormat="1" ht="52.15" customHeight="1">
      <c r="A209" s="135" t="s">
        <v>273</v>
      </c>
      <c r="B209" s="112" t="s">
        <v>274</v>
      </c>
      <c r="C209" s="130">
        <v>3863</v>
      </c>
      <c r="D209" s="108">
        <f t="shared" si="67"/>
        <v>3863</v>
      </c>
      <c r="E209" s="108">
        <v>0</v>
      </c>
      <c r="F209" s="109">
        <v>3863</v>
      </c>
      <c r="G209" s="136">
        <v>0</v>
      </c>
      <c r="H209" s="108">
        <f t="shared" si="69"/>
        <v>2433.5</v>
      </c>
      <c r="I209" s="108">
        <v>0</v>
      </c>
      <c r="J209" s="108">
        <v>2433.5</v>
      </c>
      <c r="K209" s="108">
        <v>0</v>
      </c>
      <c r="L209" s="108">
        <f>N209</f>
        <v>2433.5</v>
      </c>
      <c r="M209" s="108">
        <v>0</v>
      </c>
      <c r="N209" s="108">
        <f t="shared" si="71"/>
        <v>2433.5</v>
      </c>
      <c r="O209" s="136">
        <v>0</v>
      </c>
      <c r="P209" s="100">
        <f>H209/D209</f>
        <v>0.63</v>
      </c>
      <c r="Q209" s="129">
        <f>L209/D209</f>
        <v>0.63</v>
      </c>
      <c r="R209" s="56"/>
    </row>
    <row r="210" spans="1:18" s="57" customFormat="1" ht="54" customHeight="1">
      <c r="A210" s="135" t="s">
        <v>432</v>
      </c>
      <c r="B210" s="112" t="s">
        <v>433</v>
      </c>
      <c r="C210" s="130">
        <v>32.1</v>
      </c>
      <c r="D210" s="108">
        <f t="shared" si="67"/>
        <v>32.1</v>
      </c>
      <c r="E210" s="108">
        <v>0</v>
      </c>
      <c r="F210" s="109">
        <f>C210</f>
        <v>32.1</v>
      </c>
      <c r="G210" s="136">
        <v>0</v>
      </c>
      <c r="H210" s="108">
        <f>J210</f>
        <v>32.1</v>
      </c>
      <c r="I210" s="108">
        <v>0</v>
      </c>
      <c r="J210" s="108">
        <f>F210</f>
        <v>32.1</v>
      </c>
      <c r="K210" s="108">
        <v>0</v>
      </c>
      <c r="L210" s="108">
        <f>N210</f>
        <v>32.1</v>
      </c>
      <c r="M210" s="108">
        <v>0</v>
      </c>
      <c r="N210" s="108">
        <f t="shared" si="71"/>
        <v>32.1</v>
      </c>
      <c r="O210" s="136">
        <v>0</v>
      </c>
      <c r="P210" s="100">
        <f>H210/D210</f>
        <v>1</v>
      </c>
      <c r="Q210" s="129">
        <f>L210/D210</f>
        <v>1</v>
      </c>
      <c r="R210" s="56"/>
    </row>
    <row r="211" spans="1:18" s="57" customFormat="1" ht="109.5" customHeight="1">
      <c r="A211" s="135" t="s">
        <v>434</v>
      </c>
      <c r="B211" s="112" t="s">
        <v>435</v>
      </c>
      <c r="C211" s="130">
        <v>3196.4</v>
      </c>
      <c r="D211" s="108">
        <f>E211</f>
        <v>3196.4</v>
      </c>
      <c r="E211" s="108">
        <v>3196.4</v>
      </c>
      <c r="F211" s="109">
        <v>0</v>
      </c>
      <c r="G211" s="136">
        <v>0</v>
      </c>
      <c r="H211" s="108">
        <f>I211</f>
        <v>3196.3</v>
      </c>
      <c r="I211" s="108">
        <v>3196.3</v>
      </c>
      <c r="J211" s="108">
        <v>0</v>
      </c>
      <c r="K211" s="108">
        <v>0</v>
      </c>
      <c r="L211" s="108">
        <f>M211</f>
        <v>3196.3</v>
      </c>
      <c r="M211" s="108">
        <f>I211</f>
        <v>3196.3</v>
      </c>
      <c r="N211" s="108">
        <v>0</v>
      </c>
      <c r="O211" s="136">
        <v>0</v>
      </c>
      <c r="P211" s="100">
        <f t="shared" ref="P211:P223" si="72">H211/D211</f>
        <v>1</v>
      </c>
      <c r="Q211" s="129">
        <f t="shared" ref="Q211:Q223" si="73">L211/D211</f>
        <v>1</v>
      </c>
      <c r="R211" s="56"/>
    </row>
    <row r="212" spans="1:18" s="57" customFormat="1" ht="100.15" customHeight="1">
      <c r="A212" s="135" t="s">
        <v>436</v>
      </c>
      <c r="B212" s="112" t="s">
        <v>437</v>
      </c>
      <c r="C212" s="130">
        <v>1663</v>
      </c>
      <c r="D212" s="108">
        <f>F212</f>
        <v>1663</v>
      </c>
      <c r="E212" s="108">
        <v>0</v>
      </c>
      <c r="F212" s="109">
        <v>1663</v>
      </c>
      <c r="G212" s="136">
        <v>0</v>
      </c>
      <c r="H212" s="108">
        <f>J212</f>
        <v>1663</v>
      </c>
      <c r="I212" s="108">
        <v>0</v>
      </c>
      <c r="J212" s="108">
        <v>1663</v>
      </c>
      <c r="K212" s="108">
        <v>0</v>
      </c>
      <c r="L212" s="108">
        <f>N212</f>
        <v>1663</v>
      </c>
      <c r="M212" s="108">
        <v>0</v>
      </c>
      <c r="N212" s="108">
        <f>J212</f>
        <v>1663</v>
      </c>
      <c r="O212" s="136">
        <v>0</v>
      </c>
      <c r="P212" s="100">
        <f t="shared" si="72"/>
        <v>1</v>
      </c>
      <c r="Q212" s="129">
        <f t="shared" si="73"/>
        <v>1</v>
      </c>
      <c r="R212" s="56"/>
    </row>
    <row r="213" spans="1:18" s="57" customFormat="1" ht="60" customHeight="1">
      <c r="A213" s="135"/>
      <c r="B213" s="112" t="s">
        <v>438</v>
      </c>
      <c r="C213" s="130">
        <f>C211+C212</f>
        <v>4859.3999999999996</v>
      </c>
      <c r="D213" s="108">
        <f>E213+F213</f>
        <v>4859.3999999999996</v>
      </c>
      <c r="E213" s="108">
        <f>E211</f>
        <v>3196.4</v>
      </c>
      <c r="F213" s="109">
        <f>F212</f>
        <v>1663</v>
      </c>
      <c r="G213" s="136">
        <v>0</v>
      </c>
      <c r="H213" s="108">
        <f>I213+J213</f>
        <v>4859.3</v>
      </c>
      <c r="I213" s="108">
        <f>I211</f>
        <v>3196.3</v>
      </c>
      <c r="J213" s="108">
        <f>J212</f>
        <v>1663</v>
      </c>
      <c r="K213" s="108">
        <v>0</v>
      </c>
      <c r="L213" s="108">
        <f>H213</f>
        <v>4859.3</v>
      </c>
      <c r="M213" s="108">
        <f>I213</f>
        <v>3196.3</v>
      </c>
      <c r="N213" s="108">
        <f>J213</f>
        <v>1663</v>
      </c>
      <c r="O213" s="136">
        <v>0</v>
      </c>
      <c r="P213" s="100">
        <f t="shared" si="72"/>
        <v>1</v>
      </c>
      <c r="Q213" s="129">
        <f t="shared" si="73"/>
        <v>1</v>
      </c>
      <c r="R213" s="56"/>
    </row>
    <row r="214" spans="1:18" s="57" customFormat="1" ht="52.9" customHeight="1">
      <c r="A214" s="135" t="s">
        <v>580</v>
      </c>
      <c r="B214" s="112" t="s">
        <v>581</v>
      </c>
      <c r="C214" s="130">
        <f>C215+C216</f>
        <v>1140.7</v>
      </c>
      <c r="D214" s="108">
        <f>F214</f>
        <v>1140.7</v>
      </c>
      <c r="E214" s="108">
        <v>0</v>
      </c>
      <c r="F214" s="109">
        <f>C214</f>
        <v>1140.7</v>
      </c>
      <c r="G214" s="136">
        <v>0</v>
      </c>
      <c r="H214" s="108">
        <f t="shared" ref="H214:O214" si="74">H215+H216</f>
        <v>760.1</v>
      </c>
      <c r="I214" s="108">
        <f t="shared" si="74"/>
        <v>0</v>
      </c>
      <c r="J214" s="108">
        <f t="shared" si="74"/>
        <v>760.1</v>
      </c>
      <c r="K214" s="108">
        <f t="shared" si="74"/>
        <v>0</v>
      </c>
      <c r="L214" s="108">
        <f t="shared" si="74"/>
        <v>760.1</v>
      </c>
      <c r="M214" s="108">
        <f t="shared" si="74"/>
        <v>0</v>
      </c>
      <c r="N214" s="108">
        <f t="shared" si="74"/>
        <v>760.1</v>
      </c>
      <c r="O214" s="108">
        <f t="shared" si="74"/>
        <v>0</v>
      </c>
      <c r="P214" s="100">
        <f t="shared" si="72"/>
        <v>0.66600000000000004</v>
      </c>
      <c r="Q214" s="129">
        <f t="shared" si="73"/>
        <v>0.66600000000000004</v>
      </c>
      <c r="R214" s="56"/>
    </row>
    <row r="215" spans="1:18" s="57" customFormat="1" ht="37.15" customHeight="1">
      <c r="A215" s="135"/>
      <c r="B215" s="112" t="s">
        <v>582</v>
      </c>
      <c r="C215" s="130">
        <v>760.1</v>
      </c>
      <c r="D215" s="108">
        <f>F215</f>
        <v>760.1</v>
      </c>
      <c r="E215" s="108">
        <v>0</v>
      </c>
      <c r="F215" s="109">
        <f>C215</f>
        <v>760.1</v>
      </c>
      <c r="G215" s="136">
        <v>0</v>
      </c>
      <c r="H215" s="108">
        <f>J215</f>
        <v>760.1</v>
      </c>
      <c r="I215" s="108">
        <v>0</v>
      </c>
      <c r="J215" s="108">
        <v>760.1</v>
      </c>
      <c r="K215" s="108">
        <v>0</v>
      </c>
      <c r="L215" s="108">
        <f>N215</f>
        <v>760.1</v>
      </c>
      <c r="M215" s="108">
        <v>0</v>
      </c>
      <c r="N215" s="108">
        <f>J215</f>
        <v>760.1</v>
      </c>
      <c r="O215" s="136">
        <v>0</v>
      </c>
      <c r="P215" s="100">
        <f t="shared" si="72"/>
        <v>1</v>
      </c>
      <c r="Q215" s="129">
        <f t="shared" si="73"/>
        <v>1</v>
      </c>
      <c r="R215" s="56"/>
    </row>
    <row r="216" spans="1:18" s="57" customFormat="1" ht="34.9" customHeight="1">
      <c r="A216" s="135"/>
      <c r="B216" s="112" t="s">
        <v>583</v>
      </c>
      <c r="C216" s="130">
        <v>380.6</v>
      </c>
      <c r="D216" s="108">
        <f>F216</f>
        <v>380.6</v>
      </c>
      <c r="E216" s="108">
        <v>0</v>
      </c>
      <c r="F216" s="109">
        <f>C216</f>
        <v>380.6</v>
      </c>
      <c r="G216" s="136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36">
        <v>0</v>
      </c>
      <c r="P216" s="100">
        <f t="shared" si="72"/>
        <v>0</v>
      </c>
      <c r="Q216" s="129">
        <f t="shared" si="73"/>
        <v>0</v>
      </c>
      <c r="R216" s="56"/>
    </row>
    <row r="217" spans="1:18" s="57" customFormat="1" ht="135" customHeight="1">
      <c r="A217" s="118" t="s">
        <v>275</v>
      </c>
      <c r="B217" s="113" t="s">
        <v>276</v>
      </c>
      <c r="C217" s="131">
        <f>C218+C219+C221+C222</f>
        <v>11101.3</v>
      </c>
      <c r="D217" s="131">
        <f>D218+D219+D221+D222</f>
        <v>11101.3</v>
      </c>
      <c r="E217" s="131">
        <f t="shared" ref="E217:O217" si="75">E218+E219+E221+E222</f>
        <v>300</v>
      </c>
      <c r="F217" s="131">
        <f t="shared" si="75"/>
        <v>10801.3</v>
      </c>
      <c r="G217" s="131">
        <f t="shared" si="75"/>
        <v>0</v>
      </c>
      <c r="H217" s="131">
        <f t="shared" si="75"/>
        <v>10740.1</v>
      </c>
      <c r="I217" s="131">
        <f t="shared" si="75"/>
        <v>130.30000000000001</v>
      </c>
      <c r="J217" s="131">
        <f t="shared" si="75"/>
        <v>10609.8</v>
      </c>
      <c r="K217" s="131">
        <f t="shared" si="75"/>
        <v>0</v>
      </c>
      <c r="L217" s="131">
        <f t="shared" si="75"/>
        <v>10740.1</v>
      </c>
      <c r="M217" s="131">
        <f t="shared" si="75"/>
        <v>130.30000000000001</v>
      </c>
      <c r="N217" s="131">
        <f t="shared" si="75"/>
        <v>10609.8</v>
      </c>
      <c r="O217" s="131">
        <f t="shared" si="75"/>
        <v>0</v>
      </c>
      <c r="P217" s="97">
        <f t="shared" si="72"/>
        <v>0.96699999999999997</v>
      </c>
      <c r="Q217" s="98">
        <f t="shared" si="73"/>
        <v>0.96699999999999997</v>
      </c>
      <c r="R217" s="56"/>
    </row>
    <row r="218" spans="1:18" s="57" customFormat="1" ht="91.9" customHeight="1">
      <c r="A218" s="135" t="s">
        <v>277</v>
      </c>
      <c r="B218" s="112" t="s">
        <v>278</v>
      </c>
      <c r="C218" s="130">
        <v>300</v>
      </c>
      <c r="D218" s="108">
        <f>E218</f>
        <v>300</v>
      </c>
      <c r="E218" s="108">
        <v>300</v>
      </c>
      <c r="F218" s="109">
        <v>0</v>
      </c>
      <c r="G218" s="136">
        <v>0</v>
      </c>
      <c r="H218" s="108">
        <f>I218</f>
        <v>130.30000000000001</v>
      </c>
      <c r="I218" s="108">
        <v>130.30000000000001</v>
      </c>
      <c r="J218" s="108">
        <v>0</v>
      </c>
      <c r="K218" s="108">
        <v>0</v>
      </c>
      <c r="L218" s="108">
        <f>M218</f>
        <v>130.30000000000001</v>
      </c>
      <c r="M218" s="108">
        <f>I218</f>
        <v>130.30000000000001</v>
      </c>
      <c r="N218" s="108">
        <v>0</v>
      </c>
      <c r="O218" s="136">
        <v>0</v>
      </c>
      <c r="P218" s="100">
        <f t="shared" si="72"/>
        <v>0.434</v>
      </c>
      <c r="Q218" s="100">
        <f t="shared" si="73"/>
        <v>0.434</v>
      </c>
      <c r="R218" s="56"/>
    </row>
    <row r="219" spans="1:18" s="57" customFormat="1" ht="85.15" customHeight="1">
      <c r="A219" s="135" t="s">
        <v>279</v>
      </c>
      <c r="B219" s="112" t="s">
        <v>280</v>
      </c>
      <c r="C219" s="130">
        <v>9.3000000000000007</v>
      </c>
      <c r="D219" s="108">
        <f>F219</f>
        <v>9.3000000000000007</v>
      </c>
      <c r="E219" s="108">
        <v>0</v>
      </c>
      <c r="F219" s="109">
        <v>9.3000000000000007</v>
      </c>
      <c r="G219" s="136">
        <v>0</v>
      </c>
      <c r="H219" s="108">
        <f>J219</f>
        <v>4</v>
      </c>
      <c r="I219" s="108">
        <v>0</v>
      </c>
      <c r="J219" s="108">
        <v>4</v>
      </c>
      <c r="K219" s="108">
        <v>0</v>
      </c>
      <c r="L219" s="108">
        <f>N219</f>
        <v>4</v>
      </c>
      <c r="M219" s="108">
        <v>0</v>
      </c>
      <c r="N219" s="108">
        <f>J219</f>
        <v>4</v>
      </c>
      <c r="O219" s="136">
        <v>0</v>
      </c>
      <c r="P219" s="100">
        <f t="shared" si="72"/>
        <v>0.43</v>
      </c>
      <c r="Q219" s="100">
        <f t="shared" si="73"/>
        <v>0.43</v>
      </c>
      <c r="R219" s="56"/>
    </row>
    <row r="220" spans="1:18" s="57" customFormat="1" ht="84.6" customHeight="1">
      <c r="A220" s="135"/>
      <c r="B220" s="112" t="s">
        <v>280</v>
      </c>
      <c r="C220" s="130">
        <v>309.3</v>
      </c>
      <c r="D220" s="108">
        <f>E220+F220</f>
        <v>309.3</v>
      </c>
      <c r="E220" s="108">
        <f>E218</f>
        <v>300</v>
      </c>
      <c r="F220" s="109">
        <f>F219</f>
        <v>9.3000000000000007</v>
      </c>
      <c r="G220" s="136">
        <v>0</v>
      </c>
      <c r="H220" s="108">
        <f>I220+J220</f>
        <v>134.30000000000001</v>
      </c>
      <c r="I220" s="108">
        <f>I218</f>
        <v>130.30000000000001</v>
      </c>
      <c r="J220" s="108">
        <f>J219</f>
        <v>4</v>
      </c>
      <c r="K220" s="108">
        <v>0</v>
      </c>
      <c r="L220" s="108">
        <f>M220+N220</f>
        <v>134.30000000000001</v>
      </c>
      <c r="M220" s="108">
        <f>M218</f>
        <v>130.30000000000001</v>
      </c>
      <c r="N220" s="108">
        <f>N219</f>
        <v>4</v>
      </c>
      <c r="O220" s="136">
        <v>0</v>
      </c>
      <c r="P220" s="100">
        <f t="shared" si="72"/>
        <v>0.434</v>
      </c>
      <c r="Q220" s="100">
        <f t="shared" si="73"/>
        <v>0.434</v>
      </c>
      <c r="R220" s="56"/>
    </row>
    <row r="221" spans="1:18" s="57" customFormat="1" ht="37.15" customHeight="1">
      <c r="A221" s="135" t="s">
        <v>281</v>
      </c>
      <c r="B221" s="112" t="s">
        <v>282</v>
      </c>
      <c r="C221" s="130">
        <v>9027.5</v>
      </c>
      <c r="D221" s="108">
        <f>F221</f>
        <v>9027.5</v>
      </c>
      <c r="E221" s="108">
        <v>0</v>
      </c>
      <c r="F221" s="109">
        <f>C221</f>
        <v>9027.5</v>
      </c>
      <c r="G221" s="136">
        <v>0</v>
      </c>
      <c r="H221" s="108">
        <f>J221</f>
        <v>8946.9</v>
      </c>
      <c r="I221" s="108">
        <v>0</v>
      </c>
      <c r="J221" s="108">
        <v>8946.9</v>
      </c>
      <c r="K221" s="108">
        <v>0</v>
      </c>
      <c r="L221" s="108">
        <f>N221</f>
        <v>8946.9</v>
      </c>
      <c r="M221" s="108">
        <v>0</v>
      </c>
      <c r="N221" s="108">
        <f>J221</f>
        <v>8946.9</v>
      </c>
      <c r="O221" s="136">
        <v>0</v>
      </c>
      <c r="P221" s="100">
        <f t="shared" si="72"/>
        <v>0.99099999999999999</v>
      </c>
      <c r="Q221" s="100">
        <f t="shared" si="73"/>
        <v>0.99099999999999999</v>
      </c>
      <c r="R221" s="56"/>
    </row>
    <row r="222" spans="1:18" s="57" customFormat="1" ht="40.15" customHeight="1">
      <c r="A222" s="135" t="s">
        <v>283</v>
      </c>
      <c r="B222" s="112" t="s">
        <v>284</v>
      </c>
      <c r="C222" s="130">
        <v>1764.5</v>
      </c>
      <c r="D222" s="108">
        <f>F222</f>
        <v>1764.5</v>
      </c>
      <c r="E222" s="108">
        <v>0</v>
      </c>
      <c r="F222" s="109">
        <f>C222</f>
        <v>1764.5</v>
      </c>
      <c r="G222" s="136">
        <v>0</v>
      </c>
      <c r="H222" s="108">
        <f>J222</f>
        <v>1658.9</v>
      </c>
      <c r="I222" s="108">
        <v>0</v>
      </c>
      <c r="J222" s="108">
        <v>1658.9</v>
      </c>
      <c r="K222" s="108">
        <v>0</v>
      </c>
      <c r="L222" s="108">
        <f>N222</f>
        <v>1658.9</v>
      </c>
      <c r="M222" s="108">
        <v>0</v>
      </c>
      <c r="N222" s="108">
        <f>J222</f>
        <v>1658.9</v>
      </c>
      <c r="O222" s="136">
        <v>0</v>
      </c>
      <c r="P222" s="100">
        <f t="shared" si="72"/>
        <v>0.94</v>
      </c>
      <c r="Q222" s="100">
        <f t="shared" si="73"/>
        <v>0.94</v>
      </c>
      <c r="R222" s="56"/>
    </row>
    <row r="223" spans="1:18" s="57" customFormat="1" ht="28.15" customHeight="1">
      <c r="A223" s="135"/>
      <c r="B223" s="115" t="s">
        <v>285</v>
      </c>
      <c r="C223" s="131">
        <f>C217+C191</f>
        <v>105877.2</v>
      </c>
      <c r="D223" s="131">
        <f t="shared" ref="D223:O223" si="76">D217+D191</f>
        <v>105877.2</v>
      </c>
      <c r="E223" s="131">
        <f t="shared" si="76"/>
        <v>3496.4</v>
      </c>
      <c r="F223" s="131">
        <f t="shared" si="76"/>
        <v>102380.8</v>
      </c>
      <c r="G223" s="131">
        <f t="shared" si="76"/>
        <v>0</v>
      </c>
      <c r="H223" s="131">
        <f t="shared" si="76"/>
        <v>103634</v>
      </c>
      <c r="I223" s="131">
        <f t="shared" si="76"/>
        <v>3326.6</v>
      </c>
      <c r="J223" s="131">
        <f t="shared" si="76"/>
        <v>100307.4</v>
      </c>
      <c r="K223" s="131">
        <f t="shared" si="76"/>
        <v>0</v>
      </c>
      <c r="L223" s="131">
        <f t="shared" si="76"/>
        <v>103634</v>
      </c>
      <c r="M223" s="131">
        <f t="shared" si="76"/>
        <v>3326.6</v>
      </c>
      <c r="N223" s="131">
        <f t="shared" si="76"/>
        <v>100307.4</v>
      </c>
      <c r="O223" s="131">
        <f t="shared" si="76"/>
        <v>0</v>
      </c>
      <c r="P223" s="97">
        <f t="shared" si="72"/>
        <v>0.97899999999999998</v>
      </c>
      <c r="Q223" s="97">
        <f t="shared" si="73"/>
        <v>0.97899999999999998</v>
      </c>
      <c r="R223" s="56"/>
    </row>
    <row r="224" spans="1:18" s="57" customFormat="1" ht="34.9" customHeight="1">
      <c r="A224" s="123"/>
      <c r="B224" s="289" t="s">
        <v>286</v>
      </c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1"/>
      <c r="R224" s="56"/>
    </row>
    <row r="225" spans="1:18" s="57" customFormat="1" ht="39.6" customHeight="1">
      <c r="A225" s="118" t="s">
        <v>287</v>
      </c>
      <c r="B225" s="137" t="s">
        <v>288</v>
      </c>
      <c r="C225" s="131">
        <f>C226</f>
        <v>8102.6</v>
      </c>
      <c r="D225" s="131">
        <f t="shared" ref="D225:O225" si="77">D226</f>
        <v>8102.6</v>
      </c>
      <c r="E225" s="131">
        <f t="shared" si="77"/>
        <v>8102.6</v>
      </c>
      <c r="F225" s="131">
        <f t="shared" si="77"/>
        <v>0</v>
      </c>
      <c r="G225" s="131">
        <f t="shared" si="77"/>
        <v>0</v>
      </c>
      <c r="H225" s="131">
        <f t="shared" si="77"/>
        <v>7960</v>
      </c>
      <c r="I225" s="131">
        <f t="shared" si="77"/>
        <v>7960</v>
      </c>
      <c r="J225" s="131">
        <f t="shared" si="77"/>
        <v>0</v>
      </c>
      <c r="K225" s="131">
        <f t="shared" si="77"/>
        <v>0</v>
      </c>
      <c r="L225" s="131">
        <f t="shared" si="77"/>
        <v>7960</v>
      </c>
      <c r="M225" s="131">
        <f t="shared" si="77"/>
        <v>7960</v>
      </c>
      <c r="N225" s="131">
        <f t="shared" si="77"/>
        <v>0</v>
      </c>
      <c r="O225" s="131">
        <f t="shared" si="77"/>
        <v>0</v>
      </c>
      <c r="P225" s="213">
        <f>H225/D225</f>
        <v>0.98199999999999998</v>
      </c>
      <c r="Q225" s="213">
        <f>L225/D225</f>
        <v>0.98199999999999998</v>
      </c>
      <c r="R225" s="56"/>
    </row>
    <row r="226" spans="1:18" s="57" customFormat="1" ht="37.9" customHeight="1">
      <c r="A226" s="135" t="s">
        <v>289</v>
      </c>
      <c r="B226" s="138" t="s">
        <v>290</v>
      </c>
      <c r="C226" s="130">
        <v>8102.6</v>
      </c>
      <c r="D226" s="108">
        <f>E226</f>
        <v>8102.6</v>
      </c>
      <c r="E226" s="108">
        <v>8102.6</v>
      </c>
      <c r="F226" s="109">
        <v>0</v>
      </c>
      <c r="G226" s="136">
        <v>0</v>
      </c>
      <c r="H226" s="108">
        <f>I226</f>
        <v>7960</v>
      </c>
      <c r="I226" s="108">
        <v>7960</v>
      </c>
      <c r="J226" s="108">
        <v>0</v>
      </c>
      <c r="K226" s="108">
        <v>0</v>
      </c>
      <c r="L226" s="108">
        <f>M226</f>
        <v>7960</v>
      </c>
      <c r="M226" s="108">
        <f>I226</f>
        <v>7960</v>
      </c>
      <c r="N226" s="108">
        <v>0</v>
      </c>
      <c r="O226" s="136">
        <v>0</v>
      </c>
      <c r="P226" s="197">
        <f>H226/D226</f>
        <v>0.98199999999999998</v>
      </c>
      <c r="Q226" s="197">
        <f>L226/D226</f>
        <v>0.98199999999999998</v>
      </c>
      <c r="R226" s="56"/>
    </row>
    <row r="227" spans="1:18" s="57" customFormat="1" ht="81.599999999999994" customHeight="1">
      <c r="A227" s="118" t="s">
        <v>291</v>
      </c>
      <c r="B227" s="137" t="s">
        <v>292</v>
      </c>
      <c r="C227" s="131">
        <f>C228</f>
        <v>571.70000000000005</v>
      </c>
      <c r="D227" s="103">
        <f>D228</f>
        <v>571.70000000000005</v>
      </c>
      <c r="E227" s="103">
        <v>0</v>
      </c>
      <c r="F227" s="104">
        <f>F228</f>
        <v>571.70000000000005</v>
      </c>
      <c r="G227" s="128">
        <f>G228</f>
        <v>0</v>
      </c>
      <c r="H227" s="128">
        <f t="shared" ref="H227:O227" si="78">H228</f>
        <v>543.6</v>
      </c>
      <c r="I227" s="128">
        <f t="shared" si="78"/>
        <v>0</v>
      </c>
      <c r="J227" s="128">
        <f t="shared" si="78"/>
        <v>543.6</v>
      </c>
      <c r="K227" s="128">
        <f t="shared" si="78"/>
        <v>0</v>
      </c>
      <c r="L227" s="128">
        <f t="shared" si="78"/>
        <v>543.6</v>
      </c>
      <c r="M227" s="128">
        <f t="shared" si="78"/>
        <v>0</v>
      </c>
      <c r="N227" s="128">
        <f t="shared" si="78"/>
        <v>543.6</v>
      </c>
      <c r="O227" s="128">
        <f t="shared" si="78"/>
        <v>0</v>
      </c>
      <c r="P227" s="197">
        <f t="shared" ref="P227:P232" si="79">H227/D227</f>
        <v>0.95099999999999996</v>
      </c>
      <c r="Q227" s="197">
        <f t="shared" ref="Q227:Q232" si="80">L227/D227</f>
        <v>0.95099999999999996</v>
      </c>
      <c r="R227" s="56"/>
    </row>
    <row r="228" spans="1:18" s="57" customFormat="1" ht="63" customHeight="1">
      <c r="A228" s="62" t="s">
        <v>293</v>
      </c>
      <c r="B228" s="63" t="s">
        <v>294</v>
      </c>
      <c r="C228" s="107">
        <v>571.70000000000005</v>
      </c>
      <c r="D228" s="108">
        <f>F228</f>
        <v>571.70000000000005</v>
      </c>
      <c r="E228" s="108">
        <v>0</v>
      </c>
      <c r="F228" s="109">
        <f>C228</f>
        <v>571.70000000000005</v>
      </c>
      <c r="G228" s="110">
        <v>0</v>
      </c>
      <c r="H228" s="108">
        <f>I228+J228+K228</f>
        <v>543.6</v>
      </c>
      <c r="I228" s="111">
        <v>0</v>
      </c>
      <c r="J228" s="111">
        <v>543.6</v>
      </c>
      <c r="K228" s="111">
        <v>0</v>
      </c>
      <c r="L228" s="108">
        <f>M228+N228+O228</f>
        <v>543.6</v>
      </c>
      <c r="M228" s="111">
        <v>0</v>
      </c>
      <c r="N228" s="111">
        <f>J228</f>
        <v>543.6</v>
      </c>
      <c r="O228" s="110">
        <v>0</v>
      </c>
      <c r="P228" s="197">
        <f t="shared" si="79"/>
        <v>0.95099999999999996</v>
      </c>
      <c r="Q228" s="197">
        <f t="shared" si="80"/>
        <v>0.95099999999999996</v>
      </c>
      <c r="R228" s="56"/>
    </row>
    <row r="229" spans="1:18" s="78" customFormat="1" ht="109.5" customHeight="1">
      <c r="A229" s="74" t="s">
        <v>439</v>
      </c>
      <c r="B229" s="75" t="s">
        <v>440</v>
      </c>
      <c r="C229" s="102">
        <f>C230</f>
        <v>149895.29999999999</v>
      </c>
      <c r="D229" s="102">
        <f>D230</f>
        <v>149895.29999999999</v>
      </c>
      <c r="E229" s="102">
        <f>E230</f>
        <v>149895.29999999999</v>
      </c>
      <c r="F229" s="102">
        <f>F230</f>
        <v>0</v>
      </c>
      <c r="G229" s="102">
        <f>G230</f>
        <v>0</v>
      </c>
      <c r="H229" s="103">
        <f>I229</f>
        <v>74768.3</v>
      </c>
      <c r="I229" s="106">
        <f>I230</f>
        <v>74768.3</v>
      </c>
      <c r="J229" s="106">
        <v>0</v>
      </c>
      <c r="K229" s="106">
        <v>0</v>
      </c>
      <c r="L229" s="103">
        <f>L230</f>
        <v>74768.3</v>
      </c>
      <c r="M229" s="106">
        <f>M230</f>
        <v>74768.3</v>
      </c>
      <c r="N229" s="106">
        <v>0</v>
      </c>
      <c r="O229" s="105">
        <v>0</v>
      </c>
      <c r="P229" s="197">
        <f t="shared" si="79"/>
        <v>0.499</v>
      </c>
      <c r="Q229" s="197">
        <f t="shared" si="80"/>
        <v>0.499</v>
      </c>
      <c r="R229" s="77"/>
    </row>
    <row r="230" spans="1:18" s="57" customFormat="1" ht="123" customHeight="1">
      <c r="A230" s="62"/>
      <c r="B230" s="63" t="s">
        <v>441</v>
      </c>
      <c r="C230" s="107">
        <v>149895.29999999999</v>
      </c>
      <c r="D230" s="108">
        <f>E230</f>
        <v>149895.29999999999</v>
      </c>
      <c r="E230" s="108">
        <f>C230</f>
        <v>149895.29999999999</v>
      </c>
      <c r="F230" s="109">
        <v>0</v>
      </c>
      <c r="G230" s="110">
        <v>0</v>
      </c>
      <c r="H230" s="108">
        <f>I230</f>
        <v>74768.3</v>
      </c>
      <c r="I230" s="111">
        <v>74768.3</v>
      </c>
      <c r="J230" s="111">
        <v>0</v>
      </c>
      <c r="K230" s="111">
        <v>0</v>
      </c>
      <c r="L230" s="108">
        <f>M230</f>
        <v>74768.3</v>
      </c>
      <c r="M230" s="111">
        <f>I230</f>
        <v>74768.3</v>
      </c>
      <c r="N230" s="111">
        <v>0</v>
      </c>
      <c r="O230" s="110">
        <v>0</v>
      </c>
      <c r="P230" s="197">
        <f t="shared" si="79"/>
        <v>0.499</v>
      </c>
      <c r="Q230" s="197">
        <f t="shared" si="80"/>
        <v>0.499</v>
      </c>
      <c r="R230" s="56"/>
    </row>
    <row r="231" spans="1:18" s="57" customFormat="1" ht="24" customHeight="1">
      <c r="A231" s="74"/>
      <c r="B231" s="115" t="s">
        <v>295</v>
      </c>
      <c r="C231" s="102">
        <f>C227+C225+C229</f>
        <v>158569.60000000001</v>
      </c>
      <c r="D231" s="102">
        <f t="shared" ref="D231:O231" si="81">D227+D225+D229</f>
        <v>158569.60000000001</v>
      </c>
      <c r="E231" s="102">
        <f t="shared" si="81"/>
        <v>157997.9</v>
      </c>
      <c r="F231" s="102">
        <f t="shared" si="81"/>
        <v>571.70000000000005</v>
      </c>
      <c r="G231" s="102">
        <f t="shared" si="81"/>
        <v>0</v>
      </c>
      <c r="H231" s="102">
        <f t="shared" si="81"/>
        <v>83271.899999999994</v>
      </c>
      <c r="I231" s="102">
        <f t="shared" si="81"/>
        <v>82728.3</v>
      </c>
      <c r="J231" s="102">
        <f t="shared" si="81"/>
        <v>543.6</v>
      </c>
      <c r="K231" s="102">
        <f t="shared" si="81"/>
        <v>0</v>
      </c>
      <c r="L231" s="102">
        <f t="shared" si="81"/>
        <v>83271.899999999994</v>
      </c>
      <c r="M231" s="102">
        <f t="shared" si="81"/>
        <v>82728.3</v>
      </c>
      <c r="N231" s="102">
        <f t="shared" si="81"/>
        <v>543.6</v>
      </c>
      <c r="O231" s="102">
        <f t="shared" si="81"/>
        <v>0</v>
      </c>
      <c r="P231" s="197">
        <f t="shared" si="79"/>
        <v>0.52500000000000002</v>
      </c>
      <c r="Q231" s="197">
        <f t="shared" si="80"/>
        <v>0.52500000000000002</v>
      </c>
      <c r="R231" s="56"/>
    </row>
    <row r="232" spans="1:18" s="84" customFormat="1" ht="27" customHeight="1">
      <c r="A232" s="123"/>
      <c r="B232" s="80" t="s">
        <v>168</v>
      </c>
      <c r="C232" s="124">
        <f>C231+C223+C189+C138+C92+C67-0.1</f>
        <v>726033.3</v>
      </c>
      <c r="D232" s="124">
        <f>D231+D223+D189+D138+D92+D67-0.1</f>
        <v>726033.5</v>
      </c>
      <c r="E232" s="124">
        <f t="shared" ref="E232:O232" si="82">E231+E223+E189+E138+E92+E67</f>
        <v>413898.3</v>
      </c>
      <c r="F232" s="124">
        <f t="shared" si="82"/>
        <v>311785.59999999998</v>
      </c>
      <c r="G232" s="124">
        <f t="shared" si="82"/>
        <v>349.7</v>
      </c>
      <c r="H232" s="124">
        <f t="shared" si="82"/>
        <v>610050</v>
      </c>
      <c r="I232" s="124">
        <f t="shared" si="82"/>
        <v>313112</v>
      </c>
      <c r="J232" s="124">
        <f t="shared" si="82"/>
        <v>296588.3</v>
      </c>
      <c r="K232" s="124">
        <f t="shared" si="82"/>
        <v>349.7</v>
      </c>
      <c r="L232" s="124">
        <f t="shared" si="82"/>
        <v>610050</v>
      </c>
      <c r="M232" s="124">
        <f t="shared" si="82"/>
        <v>313112</v>
      </c>
      <c r="N232" s="124">
        <f t="shared" si="82"/>
        <v>296588.3</v>
      </c>
      <c r="O232" s="124">
        <f t="shared" si="82"/>
        <v>349.7</v>
      </c>
      <c r="P232" s="125">
        <f t="shared" si="79"/>
        <v>0.84</v>
      </c>
      <c r="Q232" s="125">
        <f t="shared" si="80"/>
        <v>0.84</v>
      </c>
      <c r="R232" s="83"/>
    </row>
    <row r="234" spans="1:18" customFormat="1" ht="12.75" customHeight="1">
      <c r="N234" s="86"/>
      <c r="O234" s="86"/>
      <c r="P234" s="86"/>
    </row>
    <row r="235" spans="1:18" customFormat="1" ht="12.75" customHeight="1">
      <c r="N235" s="86"/>
      <c r="O235" s="86"/>
      <c r="P235" s="86"/>
    </row>
    <row r="236" spans="1:18" customFormat="1" ht="15.75">
      <c r="A236" s="47"/>
      <c r="B236" s="87"/>
      <c r="C236" s="87"/>
      <c r="D236" s="188"/>
      <c r="E236" s="188"/>
      <c r="F236" s="188"/>
      <c r="G236" s="292"/>
      <c r="H236" s="292"/>
      <c r="I236" s="189"/>
      <c r="J236" s="293"/>
      <c r="K236" s="293"/>
      <c r="L236" s="47"/>
      <c r="M236" s="47"/>
      <c r="N236" s="88"/>
      <c r="O236" s="88"/>
      <c r="P236" s="88"/>
      <c r="Q236" s="47"/>
      <c r="R236" s="47"/>
    </row>
    <row r="237" spans="1:18" customFormat="1" ht="23.25" customHeight="1">
      <c r="C237" s="89"/>
      <c r="N237" s="86"/>
      <c r="O237" s="86"/>
      <c r="P237" s="86"/>
    </row>
    <row r="238" spans="1:18" ht="15" customHeight="1">
      <c r="B238" s="42" t="s">
        <v>442</v>
      </c>
      <c r="C238" s="90"/>
      <c r="D238" s="90">
        <f>'[1]Приложение 3.1'!$D$43</f>
        <v>79277</v>
      </c>
      <c r="E238" s="90"/>
      <c r="F238" s="90">
        <f>'[1]Приложение 3.1'!$E$43</f>
        <v>69598.58</v>
      </c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1:18" ht="15" customHeight="1">
      <c r="B239" s="42" t="s">
        <v>443</v>
      </c>
      <c r="D239" s="90">
        <f>'[2]Прил 3.1'!$C$23</f>
        <v>9254.7900000000009</v>
      </c>
      <c r="E239" s="90"/>
      <c r="F239" s="90">
        <f>'[2]Прил 3.1'!$D$23</f>
        <v>5387.74</v>
      </c>
    </row>
    <row r="240" spans="1:18" ht="15" customHeight="1">
      <c r="B240" s="42" t="s">
        <v>444</v>
      </c>
      <c r="D240" s="90">
        <f>'[3]Приложение 3.1'!$D$18</f>
        <v>49258.85</v>
      </c>
      <c r="E240" s="90"/>
      <c r="F240" s="90">
        <f>'[3]Приложение 3.1'!$E$18</f>
        <v>47753.98</v>
      </c>
    </row>
    <row r="241" spans="2:6" ht="15" customHeight="1">
      <c r="B241" s="42" t="s">
        <v>445</v>
      </c>
      <c r="D241" s="90">
        <f>'[4]Прил 3.1'!$D$24</f>
        <v>12158.43</v>
      </c>
      <c r="E241" s="90"/>
      <c r="F241" s="90">
        <f>'[4]Прил 3.1'!$E$24</f>
        <v>11748.86</v>
      </c>
    </row>
    <row r="242" spans="2:6" ht="15" customHeight="1">
      <c r="D242" s="90">
        <f>D232+D238+D239+D240+D241</f>
        <v>875982.57</v>
      </c>
      <c r="E242" s="90"/>
      <c r="F242" s="90">
        <f>F232+F238+F239+F240+F241</f>
        <v>446274.76</v>
      </c>
    </row>
  </sheetData>
  <mergeCells count="36">
    <mergeCell ref="A14:P14"/>
    <mergeCell ref="A15:Q15"/>
    <mergeCell ref="A16:A20"/>
    <mergeCell ref="B16:B20"/>
    <mergeCell ref="P1:Q1"/>
    <mergeCell ref="N2:Q2"/>
    <mergeCell ref="N3:Q3"/>
    <mergeCell ref="N4:Q4"/>
    <mergeCell ref="N5:Q5"/>
    <mergeCell ref="A7:Q7"/>
    <mergeCell ref="A8:Q8"/>
    <mergeCell ref="A10:Q10"/>
    <mergeCell ref="A11:Q11"/>
    <mergeCell ref="A12:Q12"/>
    <mergeCell ref="A9:Q9"/>
    <mergeCell ref="C16:C20"/>
    <mergeCell ref="D16:O16"/>
    <mergeCell ref="P16:P20"/>
    <mergeCell ref="Q16:Q20"/>
    <mergeCell ref="D17:G18"/>
    <mergeCell ref="H17:K18"/>
    <mergeCell ref="L17:O18"/>
    <mergeCell ref="D19:D20"/>
    <mergeCell ref="E19:G19"/>
    <mergeCell ref="H19:H20"/>
    <mergeCell ref="I19:K19"/>
    <mergeCell ref="L19:L20"/>
    <mergeCell ref="M19:O19"/>
    <mergeCell ref="B224:Q224"/>
    <mergeCell ref="G236:H236"/>
    <mergeCell ref="J236:K236"/>
    <mergeCell ref="B22:Q22"/>
    <mergeCell ref="B68:Q68"/>
    <mergeCell ref="B93:Q93"/>
    <mergeCell ref="B139:Q139"/>
    <mergeCell ref="B190:Q190"/>
  </mergeCells>
  <pageMargins left="0.7" right="0.7" top="0.75" bottom="0.75" header="0.3" footer="0.3"/>
  <pageSetup paperSize="9" scale="5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 за 2019</vt:lpstr>
      <vt:lpstr>МУ</vt:lpstr>
      <vt:lpstr>Предприним</vt:lpstr>
      <vt:lpstr>Гражданское общество</vt:lpstr>
      <vt:lpstr>отдельные категории</vt:lpstr>
      <vt:lpstr>Молодежная политика</vt:lpstr>
      <vt:lpstr>ФКГС</vt:lpstr>
      <vt:lpstr>ЖКХ</vt:lpstr>
      <vt:lpstr>Предприним!Заголовки_для_печати</vt:lpstr>
      <vt:lpstr>'СВОД за 2019'!Заголовки_для_печати</vt:lpstr>
      <vt:lpstr>'Гражданское общество'!Область_печати</vt:lpstr>
      <vt:lpstr>ЖКХ!Область_печати</vt:lpstr>
      <vt:lpstr>'Молодежная политика'!Область_печати</vt:lpstr>
      <vt:lpstr>МУ!Область_печати</vt:lpstr>
      <vt:lpstr>Предприним!Область_печати</vt:lpstr>
      <vt:lpstr>'СВОД за 2019'!Область_печати</vt:lpstr>
      <vt:lpstr>ФКГС!Область_печати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2017-04-09T08:03:58Z</cp:lastPrinted>
  <dcterms:created xsi:type="dcterms:W3CDTF">2006-09-28T05:33:49Z</dcterms:created>
  <dcterms:modified xsi:type="dcterms:W3CDTF">2020-03-17T06:02:49Z</dcterms:modified>
</cp:coreProperties>
</file>