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.mo\ekonomika\Таралина\#ОТЧЕТЫ\до 10-1 на сайт по ПОКу\2020\"/>
    </mc:Choice>
  </mc:AlternateContent>
  <bookViews>
    <workbookView xWindow="0" yWindow="0" windowWidth="28800" windowHeight="12435" activeTab="9"/>
  </bookViews>
  <sheets>
    <sheet name="01.01.2020" sheetId="2" r:id="rId1"/>
    <sheet name="01.02.2020" sheetId="1" r:id="rId2"/>
    <sheet name="01.03.2020" sheetId="3" r:id="rId3"/>
    <sheet name="01.04.2020" sheetId="4" r:id="rId4"/>
    <sheet name="01.05.2020" sheetId="5" r:id="rId5"/>
    <sheet name="01.06.2020" sheetId="6" r:id="rId6"/>
    <sheet name="01.07.2020" sheetId="7" r:id="rId7"/>
    <sheet name="01.08.2020" sheetId="8" r:id="rId8"/>
    <sheet name="01.09.2020" sheetId="9" r:id="rId9"/>
    <sheet name="01.10.2020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Print_Area" localSheetId="0">'01.01.2020'!$A$1:$P$34</definedName>
    <definedName name="_xlnm.Print_Area" localSheetId="1">'01.02.2020'!$A$1:$P$34</definedName>
    <definedName name="_xlnm.Print_Area" localSheetId="2">'01.03.2020'!$A$1:$P$36</definedName>
    <definedName name="_xlnm.Print_Area" localSheetId="3">'01.04.2020'!$A$1:$P$36</definedName>
    <definedName name="_xlnm.Print_Area" localSheetId="4">'01.05.2020'!$A$1:$P$35</definedName>
    <definedName name="_xlnm.Print_Area" localSheetId="5">'01.06.2020'!$A$1:$P$35</definedName>
    <definedName name="_xlnm.Print_Area" localSheetId="6">'01.07.2020'!$A$1:$P$35</definedName>
    <definedName name="_xlnm.Print_Area" localSheetId="7">'01.08.2020'!$A$1:$P$35</definedName>
    <definedName name="_xlnm.Print_Area" localSheetId="8">'01.09.2020'!$A$1:$P$35</definedName>
    <definedName name="_xlnm.Print_Area" localSheetId="9">'01.10.2020'!$A$1:$P$35</definedName>
  </definedNames>
  <calcPr calcId="152511" refMode="R1C1"/>
</workbook>
</file>

<file path=xl/calcChain.xml><?xml version="1.0" encoding="utf-8"?>
<calcChain xmlns="http://schemas.openxmlformats.org/spreadsheetml/2006/main">
  <c r="D26" i="10" l="1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L27" i="10" l="1"/>
  <c r="F27" i="10" l="1"/>
  <c r="F9" i="10"/>
  <c r="F7" i="10"/>
  <c r="F10" i="10"/>
  <c r="F8" i="10"/>
  <c r="P27" i="10" l="1"/>
  <c r="O27" i="10"/>
  <c r="M27" i="10"/>
  <c r="K27" i="10"/>
  <c r="J27" i="10"/>
  <c r="I27" i="10"/>
  <c r="G26" i="10"/>
  <c r="F26" i="10"/>
  <c r="C26" i="10"/>
  <c r="G25" i="10"/>
  <c r="C25" i="10"/>
  <c r="H24" i="10"/>
  <c r="H27" i="10" s="1"/>
  <c r="G24" i="10"/>
  <c r="F24" i="10"/>
  <c r="C24" i="10"/>
  <c r="C23" i="10"/>
  <c r="C22" i="10"/>
  <c r="C21" i="10"/>
  <c r="C20" i="10"/>
  <c r="C19" i="10"/>
  <c r="G18" i="10"/>
  <c r="G27" i="10" s="1"/>
  <c r="C17" i="10"/>
  <c r="C16" i="10"/>
  <c r="C15" i="10"/>
  <c r="C14" i="10"/>
  <c r="C13" i="10"/>
  <c r="C12" i="10"/>
  <c r="C27" i="10" s="1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E10" i="10"/>
  <c r="E9" i="10"/>
  <c r="E8" i="10"/>
  <c r="E7" i="10" s="1"/>
  <c r="E27" i="10" s="1"/>
  <c r="M7" i="10"/>
  <c r="N7" i="10" s="1"/>
  <c r="N27" i="10" s="1"/>
  <c r="P5" i="10"/>
  <c r="O5" i="10"/>
  <c r="N5" i="10"/>
  <c r="M5" i="10"/>
  <c r="L5" i="10"/>
  <c r="K5" i="10"/>
  <c r="J5" i="10"/>
  <c r="I5" i="10"/>
  <c r="H5" i="10"/>
  <c r="G5" i="10"/>
  <c r="F5" i="10"/>
  <c r="E5" i="10"/>
  <c r="D27" i="10" l="1"/>
  <c r="K27" i="9"/>
  <c r="I27" i="9"/>
  <c r="G27" i="9"/>
  <c r="F27" i="9"/>
  <c r="E27" i="9"/>
  <c r="D27" i="9"/>
  <c r="C27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F7" i="9" l="1"/>
  <c r="F9" i="9"/>
  <c r="F8" i="9"/>
  <c r="F10" i="9"/>
  <c r="C20" i="9" l="1"/>
  <c r="P27" i="9" l="1"/>
  <c r="O27" i="9"/>
  <c r="M27" i="9"/>
  <c r="L27" i="9"/>
  <c r="J27" i="9"/>
  <c r="G26" i="9"/>
  <c r="F26" i="9"/>
  <c r="C26" i="9"/>
  <c r="D26" i="9" s="1"/>
  <c r="G25" i="9"/>
  <c r="D25" i="9"/>
  <c r="C25" i="9"/>
  <c r="H24" i="9"/>
  <c r="H27" i="9" s="1"/>
  <c r="G24" i="9"/>
  <c r="F24" i="9"/>
  <c r="D24" i="9"/>
  <c r="C24" i="9"/>
  <c r="C23" i="9"/>
  <c r="C22" i="9"/>
  <c r="C21" i="9"/>
  <c r="C19" i="9"/>
  <c r="G18" i="9"/>
  <c r="C17" i="9"/>
  <c r="C16" i="9"/>
  <c r="C15" i="9"/>
  <c r="C14" i="9"/>
  <c r="C13" i="9"/>
  <c r="C12" i="9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E10" i="9"/>
  <c r="E9" i="9"/>
  <c r="E8" i="9"/>
  <c r="E7" i="9" s="1"/>
  <c r="M7" i="9"/>
  <c r="N7" i="9" s="1"/>
  <c r="N27" i="9" s="1"/>
  <c r="O5" i="9"/>
  <c r="N5" i="9"/>
  <c r="M5" i="9"/>
  <c r="L5" i="9"/>
  <c r="K5" i="9"/>
  <c r="J5" i="9"/>
  <c r="I5" i="9"/>
  <c r="H5" i="9"/>
  <c r="G5" i="9"/>
  <c r="F5" i="9"/>
  <c r="P5" i="9" s="1"/>
  <c r="E5" i="9"/>
  <c r="D24" i="8" l="1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F9" i="8" l="1"/>
  <c r="F8" i="8" l="1"/>
  <c r="F10" i="8"/>
  <c r="P27" i="8"/>
  <c r="O27" i="8"/>
  <c r="L27" i="8"/>
  <c r="K27" i="8"/>
  <c r="J27" i="8"/>
  <c r="I27" i="8"/>
  <c r="G26" i="8"/>
  <c r="F26" i="8"/>
  <c r="C26" i="8"/>
  <c r="D26" i="8" s="1"/>
  <c r="G25" i="8"/>
  <c r="C25" i="8"/>
  <c r="D25" i="8" s="1"/>
  <c r="H24" i="8"/>
  <c r="H27" i="8" s="1"/>
  <c r="G24" i="8"/>
  <c r="F24" i="8"/>
  <c r="C24" i="8"/>
  <c r="C23" i="8"/>
  <c r="C22" i="8"/>
  <c r="C21" i="8"/>
  <c r="C20" i="8"/>
  <c r="C19" i="8"/>
  <c r="G18" i="8"/>
  <c r="G27" i="8" s="1"/>
  <c r="C17" i="8"/>
  <c r="C16" i="8"/>
  <c r="C15" i="8"/>
  <c r="C14" i="8"/>
  <c r="C13" i="8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C12" i="8"/>
  <c r="C27" i="8" s="1"/>
  <c r="A12" i="8"/>
  <c r="D27" i="8"/>
  <c r="E10" i="8"/>
  <c r="E9" i="8"/>
  <c r="E8" i="8"/>
  <c r="E7" i="8" s="1"/>
  <c r="E27" i="8" s="1"/>
  <c r="M7" i="8"/>
  <c r="N7" i="8" s="1"/>
  <c r="N27" i="8" s="1"/>
  <c r="F7" i="8"/>
  <c r="F27" i="8" s="1"/>
  <c r="N5" i="8"/>
  <c r="M5" i="8"/>
  <c r="L5" i="8"/>
  <c r="K5" i="8"/>
  <c r="J5" i="8"/>
  <c r="I5" i="8"/>
  <c r="H5" i="8"/>
  <c r="G5" i="8"/>
  <c r="F5" i="8"/>
  <c r="P5" i="8" s="1"/>
  <c r="E5" i="8"/>
  <c r="O5" i="8" s="1"/>
  <c r="M27" i="8" l="1"/>
  <c r="F9" i="7"/>
  <c r="F10" i="7" l="1"/>
  <c r="F8" i="7"/>
  <c r="D23" i="7"/>
  <c r="D22" i="7"/>
  <c r="D21" i="7"/>
  <c r="D19" i="7"/>
  <c r="D18" i="7"/>
  <c r="D20" i="7"/>
  <c r="D16" i="7"/>
  <c r="D17" i="7"/>
  <c r="D15" i="7"/>
  <c r="D14" i="7"/>
  <c r="D13" i="7"/>
  <c r="D12" i="7"/>
  <c r="D11" i="7"/>
  <c r="P27" i="7" l="1"/>
  <c r="O27" i="7"/>
  <c r="L27" i="7"/>
  <c r="K27" i="7"/>
  <c r="J27" i="7"/>
  <c r="I27" i="7"/>
  <c r="G26" i="7"/>
  <c r="F26" i="7"/>
  <c r="D26" i="7"/>
  <c r="C26" i="7"/>
  <c r="G25" i="7"/>
  <c r="D25" i="7"/>
  <c r="C25" i="7"/>
  <c r="H24" i="7"/>
  <c r="H27" i="7" s="1"/>
  <c r="G24" i="7"/>
  <c r="F24" i="7"/>
  <c r="C24" i="7"/>
  <c r="D24" i="7" s="1"/>
  <c r="C23" i="7"/>
  <c r="C22" i="7"/>
  <c r="C21" i="7"/>
  <c r="C20" i="7"/>
  <c r="C19" i="7"/>
  <c r="G18" i="7"/>
  <c r="G27" i="7" s="1"/>
  <c r="C17" i="7"/>
  <c r="C16" i="7"/>
  <c r="C15" i="7"/>
  <c r="C14" i="7"/>
  <c r="C13" i="7"/>
  <c r="C12" i="7"/>
  <c r="C27" i="7" s="1"/>
  <c r="A12" i="7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E10" i="7"/>
  <c r="F7" i="7"/>
  <c r="F27" i="7" s="1"/>
  <c r="E9" i="7"/>
  <c r="E8" i="7"/>
  <c r="N7" i="7"/>
  <c r="N27" i="7" s="1"/>
  <c r="M7" i="7"/>
  <c r="M27" i="7" s="1"/>
  <c r="E7" i="7"/>
  <c r="E27" i="7" s="1"/>
  <c r="N5" i="7"/>
  <c r="M5" i="7"/>
  <c r="L5" i="7"/>
  <c r="K5" i="7"/>
  <c r="J5" i="7"/>
  <c r="I5" i="7"/>
  <c r="H5" i="7"/>
  <c r="G5" i="7"/>
  <c r="F5" i="7"/>
  <c r="P5" i="7" s="1"/>
  <c r="E5" i="7"/>
  <c r="O5" i="7" s="1"/>
  <c r="D27" i="7" l="1"/>
  <c r="F9" i="6"/>
  <c r="D23" i="6"/>
  <c r="D22" i="6"/>
  <c r="D20" i="6"/>
  <c r="D19" i="6"/>
  <c r="D17" i="6"/>
  <c r="D16" i="6"/>
  <c r="D15" i="6"/>
  <c r="D14" i="6"/>
  <c r="D13" i="6"/>
  <c r="D12" i="6"/>
  <c r="F8" i="6" l="1"/>
  <c r="F7" i="6" s="1"/>
  <c r="F27" i="6" s="1"/>
  <c r="F10" i="6"/>
  <c r="P27" i="6"/>
  <c r="O27" i="6"/>
  <c r="M27" i="6"/>
  <c r="L27" i="6"/>
  <c r="K27" i="6"/>
  <c r="J27" i="6"/>
  <c r="I27" i="6"/>
  <c r="G26" i="6"/>
  <c r="F26" i="6"/>
  <c r="C26" i="6"/>
  <c r="D26" i="6" s="1"/>
  <c r="G25" i="6"/>
  <c r="C25" i="6"/>
  <c r="D25" i="6" s="1"/>
  <c r="G24" i="6"/>
  <c r="H24" i="6" s="1"/>
  <c r="H27" i="6" s="1"/>
  <c r="F24" i="6"/>
  <c r="C24" i="6"/>
  <c r="D24" i="6" s="1"/>
  <c r="C23" i="6"/>
  <c r="C22" i="6"/>
  <c r="C21" i="6"/>
  <c r="C20" i="6"/>
  <c r="C19" i="6"/>
  <c r="G18" i="6"/>
  <c r="G27" i="6" s="1"/>
  <c r="C17" i="6"/>
  <c r="C16" i="6"/>
  <c r="C15" i="6"/>
  <c r="C14" i="6"/>
  <c r="C13" i="6"/>
  <c r="C27" i="6" s="1"/>
  <c r="C12" i="6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E10" i="6"/>
  <c r="E9" i="6"/>
  <c r="E8" i="6"/>
  <c r="E7" i="6" s="1"/>
  <c r="E27" i="6" s="1"/>
  <c r="N7" i="6"/>
  <c r="N27" i="6" s="1"/>
  <c r="M7" i="6"/>
  <c r="P5" i="6"/>
  <c r="O5" i="6"/>
  <c r="N5" i="6"/>
  <c r="M5" i="6"/>
  <c r="L5" i="6"/>
  <c r="K5" i="6"/>
  <c r="J5" i="6"/>
  <c r="I5" i="6"/>
  <c r="H5" i="6"/>
  <c r="G5" i="6"/>
  <c r="F5" i="6"/>
  <c r="E5" i="6"/>
  <c r="D23" i="5" l="1"/>
  <c r="D22" i="5"/>
  <c r="D21" i="5"/>
  <c r="D20" i="5"/>
  <c r="D19" i="5"/>
  <c r="D18" i="5"/>
  <c r="D17" i="5"/>
  <c r="D16" i="5"/>
  <c r="D15" i="5"/>
  <c r="D14" i="5"/>
  <c r="D13" i="5"/>
  <c r="D12" i="5"/>
  <c r="D11" i="5"/>
  <c r="F7" i="5"/>
  <c r="F9" i="5"/>
  <c r="D27" i="5" l="1"/>
  <c r="F8" i="5"/>
  <c r="F10" i="5"/>
  <c r="P27" i="5"/>
  <c r="O27" i="5"/>
  <c r="L27" i="5"/>
  <c r="K27" i="5"/>
  <c r="J27" i="5"/>
  <c r="I27" i="5"/>
  <c r="G26" i="5"/>
  <c r="F26" i="5"/>
  <c r="C26" i="5"/>
  <c r="D26" i="5" s="1"/>
  <c r="G25" i="5"/>
  <c r="C25" i="5"/>
  <c r="D25" i="5" s="1"/>
  <c r="H24" i="5"/>
  <c r="H27" i="5" s="1"/>
  <c r="G24" i="5"/>
  <c r="F24" i="5"/>
  <c r="D24" i="5"/>
  <c r="C24" i="5"/>
  <c r="C23" i="5"/>
  <c r="C22" i="5"/>
  <c r="C21" i="5"/>
  <c r="C20" i="5"/>
  <c r="C19" i="5"/>
  <c r="G18" i="5"/>
  <c r="G27" i="5" s="1"/>
  <c r="C17" i="5"/>
  <c r="C16" i="5"/>
  <c r="C15" i="5"/>
  <c r="C14" i="5"/>
  <c r="C13" i="5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C12" i="5"/>
  <c r="A12" i="5"/>
  <c r="C27" i="5"/>
  <c r="E10" i="5"/>
  <c r="F27" i="5"/>
  <c r="E9" i="5"/>
  <c r="E7" i="5" s="1"/>
  <c r="E27" i="5" s="1"/>
  <c r="E8" i="5"/>
  <c r="N7" i="5"/>
  <c r="N27" i="5" s="1"/>
  <c r="M7" i="5"/>
  <c r="M27" i="5" s="1"/>
  <c r="O5" i="5"/>
  <c r="N5" i="5"/>
  <c r="M5" i="5"/>
  <c r="L5" i="5"/>
  <c r="K5" i="5"/>
  <c r="J5" i="5"/>
  <c r="I5" i="5"/>
  <c r="H5" i="5"/>
  <c r="G5" i="5"/>
  <c r="F5" i="5"/>
  <c r="P5" i="5" s="1"/>
  <c r="E5" i="5"/>
  <c r="D23" i="4" l="1"/>
  <c r="D22" i="4"/>
  <c r="D21" i="4"/>
  <c r="D20" i="4"/>
  <c r="D19" i="4"/>
  <c r="D18" i="4"/>
  <c r="D17" i="4"/>
  <c r="D16" i="4"/>
  <c r="D15" i="4"/>
  <c r="D14" i="4"/>
  <c r="D13" i="4"/>
  <c r="D12" i="4"/>
  <c r="D11" i="4"/>
  <c r="F7" i="4"/>
  <c r="F9" i="4"/>
  <c r="F8" i="4"/>
  <c r="F10" i="4"/>
  <c r="P27" i="4" l="1"/>
  <c r="O27" i="4"/>
  <c r="M27" i="4"/>
  <c r="L27" i="4"/>
  <c r="K27" i="4"/>
  <c r="J27" i="4"/>
  <c r="I27" i="4"/>
  <c r="E27" i="4"/>
  <c r="G26" i="4"/>
  <c r="F26" i="4"/>
  <c r="C26" i="4"/>
  <c r="D26" i="4" s="1"/>
  <c r="G25" i="4"/>
  <c r="C25" i="4"/>
  <c r="D25" i="4" s="1"/>
  <c r="G24" i="4"/>
  <c r="H24" i="4" s="1"/>
  <c r="H27" i="4" s="1"/>
  <c r="F24" i="4"/>
  <c r="D24" i="4"/>
  <c r="C24" i="4"/>
  <c r="C23" i="4"/>
  <c r="C22" i="4"/>
  <c r="C21" i="4"/>
  <c r="C20" i="4"/>
  <c r="C19" i="4"/>
  <c r="G18" i="4"/>
  <c r="G27" i="4" s="1"/>
  <c r="C18" i="4"/>
  <c r="C17" i="4"/>
  <c r="C16" i="4"/>
  <c r="C15" i="4"/>
  <c r="C14" i="4"/>
  <c r="C13" i="4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C12" i="4"/>
  <c r="C27" i="4" s="1"/>
  <c r="A12" i="4"/>
  <c r="C11" i="4"/>
  <c r="E10" i="4"/>
  <c r="F27" i="4"/>
  <c r="E9" i="4"/>
  <c r="E8" i="4"/>
  <c r="N7" i="4"/>
  <c r="N27" i="4" s="1"/>
  <c r="M7" i="4"/>
  <c r="E7" i="4"/>
  <c r="P5" i="4"/>
  <c r="N5" i="4"/>
  <c r="M5" i="4"/>
  <c r="L5" i="4"/>
  <c r="K5" i="4"/>
  <c r="J5" i="4"/>
  <c r="I5" i="4"/>
  <c r="H5" i="4"/>
  <c r="G5" i="4"/>
  <c r="F5" i="4"/>
  <c r="E5" i="4"/>
  <c r="O5" i="4" s="1"/>
  <c r="D27" i="4" l="1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F9" i="3" l="1"/>
  <c r="F26" i="3" l="1"/>
  <c r="F24" i="3"/>
  <c r="F10" i="3"/>
  <c r="F8" i="3"/>
  <c r="F7" i="3" s="1"/>
  <c r="F27" i="3" s="1"/>
  <c r="P27" i="3"/>
  <c r="O27" i="3"/>
  <c r="L27" i="3"/>
  <c r="K27" i="3"/>
  <c r="J27" i="3"/>
  <c r="I27" i="3"/>
  <c r="G26" i="3"/>
  <c r="C26" i="3"/>
  <c r="D26" i="3" s="1"/>
  <c r="G25" i="3"/>
  <c r="C25" i="3"/>
  <c r="D25" i="3" s="1"/>
  <c r="G24" i="3"/>
  <c r="H24" i="3" s="1"/>
  <c r="H27" i="3" s="1"/>
  <c r="C24" i="3"/>
  <c r="D24" i="3" s="1"/>
  <c r="C23" i="3"/>
  <c r="C22" i="3"/>
  <c r="C21" i="3"/>
  <c r="C20" i="3"/>
  <c r="C19" i="3"/>
  <c r="G18" i="3"/>
  <c r="C18" i="3"/>
  <c r="C17" i="3"/>
  <c r="C16" i="3"/>
  <c r="C15" i="3"/>
  <c r="C14" i="3"/>
  <c r="C13" i="3"/>
  <c r="C12" i="3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C11" i="3"/>
  <c r="E10" i="3"/>
  <c r="E9" i="3"/>
  <c r="E8" i="3"/>
  <c r="M7" i="3"/>
  <c r="N7" i="3" s="1"/>
  <c r="N27" i="3" s="1"/>
  <c r="N5" i="3"/>
  <c r="M5" i="3"/>
  <c r="L5" i="3"/>
  <c r="K5" i="3"/>
  <c r="J5" i="3"/>
  <c r="I5" i="3"/>
  <c r="H5" i="3"/>
  <c r="G5" i="3"/>
  <c r="F5" i="3"/>
  <c r="P5" i="3" s="1"/>
  <c r="E5" i="3"/>
  <c r="O5" i="3" s="1"/>
  <c r="C27" i="3" l="1"/>
  <c r="E7" i="3"/>
  <c r="E27" i="3" s="1"/>
  <c r="G27" i="3"/>
  <c r="M27" i="3"/>
  <c r="D27" i="3"/>
  <c r="D11" i="1"/>
  <c r="D23" i="1" l="1"/>
  <c r="D21" i="1" l="1"/>
  <c r="F26" i="1" l="1"/>
  <c r="F24" i="1"/>
  <c r="D22" i="1"/>
  <c r="D20" i="1"/>
  <c r="D19" i="1"/>
  <c r="D18" i="1"/>
  <c r="D17" i="1"/>
  <c r="D16" i="1"/>
  <c r="D15" i="1"/>
  <c r="D14" i="1"/>
  <c r="D13" i="1"/>
  <c r="D12" i="1"/>
  <c r="F9" i="1"/>
  <c r="F10" i="1" l="1"/>
  <c r="F8" i="1"/>
  <c r="F7" i="1" s="1"/>
  <c r="F27" i="1" s="1"/>
  <c r="P27" i="1"/>
  <c r="L27" i="1"/>
  <c r="J27" i="1"/>
  <c r="Q29" i="2"/>
  <c r="P27" i="2"/>
  <c r="O27" i="2"/>
  <c r="M27" i="2"/>
  <c r="L27" i="2"/>
  <c r="J27" i="2"/>
  <c r="I27" i="2"/>
  <c r="R26" i="2"/>
  <c r="Q26" i="2"/>
  <c r="G26" i="2"/>
  <c r="C26" i="2"/>
  <c r="K25" i="2"/>
  <c r="K27" i="2" s="1"/>
  <c r="G25" i="2"/>
  <c r="E25" i="2"/>
  <c r="C25" i="2"/>
  <c r="D25" i="2" s="1"/>
  <c r="G24" i="2"/>
  <c r="H24" i="2" s="1"/>
  <c r="D24" i="2"/>
  <c r="C24" i="2"/>
  <c r="D23" i="2"/>
  <c r="C23" i="2"/>
  <c r="D22" i="2"/>
  <c r="C22" i="2"/>
  <c r="R21" i="2"/>
  <c r="D21" i="2"/>
  <c r="C21" i="2"/>
  <c r="R20" i="2"/>
  <c r="D20" i="2"/>
  <c r="C20" i="2"/>
  <c r="R19" i="2"/>
  <c r="Q19" i="2"/>
  <c r="D19" i="2"/>
  <c r="C19" i="2"/>
  <c r="R18" i="2"/>
  <c r="Q18" i="2"/>
  <c r="G18" i="2"/>
  <c r="D18" i="2"/>
  <c r="C18" i="2"/>
  <c r="R17" i="2"/>
  <c r="Q17" i="2"/>
  <c r="D17" i="2"/>
  <c r="C17" i="2"/>
  <c r="D16" i="2"/>
  <c r="C16" i="2"/>
  <c r="R15" i="2"/>
  <c r="Q15" i="2"/>
  <c r="D15" i="2"/>
  <c r="C15" i="2"/>
  <c r="R14" i="2"/>
  <c r="Q14" i="2"/>
  <c r="D14" i="2"/>
  <c r="C14" i="2"/>
  <c r="R13" i="2"/>
  <c r="Q13" i="2"/>
  <c r="D13" i="2"/>
  <c r="C13" i="2"/>
  <c r="R12" i="2"/>
  <c r="Q12" i="2"/>
  <c r="D12" i="2"/>
  <c r="C12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R11" i="2"/>
  <c r="Q11" i="2"/>
  <c r="D11" i="2"/>
  <c r="C11" i="2"/>
  <c r="F10" i="2"/>
  <c r="E10" i="2"/>
  <c r="F9" i="2"/>
  <c r="E9" i="2"/>
  <c r="F8" i="2"/>
  <c r="E8" i="2"/>
  <c r="N7" i="2"/>
  <c r="N27" i="2" s="1"/>
  <c r="P5" i="2"/>
  <c r="N5" i="2"/>
  <c r="M5" i="2"/>
  <c r="L5" i="2"/>
  <c r="K5" i="2"/>
  <c r="J5" i="2"/>
  <c r="I5" i="2"/>
  <c r="H5" i="2"/>
  <c r="G5" i="2"/>
  <c r="F5" i="2"/>
  <c r="E5" i="2"/>
  <c r="O5" i="2" s="1"/>
  <c r="R4" i="2"/>
  <c r="C26" i="1"/>
  <c r="D26" i="1" s="1"/>
  <c r="C25" i="1"/>
  <c r="D25" i="1" s="1"/>
  <c r="C24" i="1"/>
  <c r="D24" i="1" s="1"/>
  <c r="D27" i="1" s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O27" i="1"/>
  <c r="K27" i="1"/>
  <c r="I27" i="1"/>
  <c r="G26" i="1"/>
  <c r="G25" i="1"/>
  <c r="G24" i="1"/>
  <c r="H24" i="1" s="1"/>
  <c r="G18" i="1"/>
  <c r="G27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12" i="1"/>
  <c r="E10" i="1"/>
  <c r="E7" i="1" s="1"/>
  <c r="E27" i="1" s="1"/>
  <c r="E9" i="1"/>
  <c r="E8" i="1"/>
  <c r="M7" i="1"/>
  <c r="N5" i="1"/>
  <c r="M5" i="1"/>
  <c r="L5" i="1"/>
  <c r="K5" i="1"/>
  <c r="J5" i="1"/>
  <c r="I5" i="1"/>
  <c r="H5" i="1"/>
  <c r="G5" i="1"/>
  <c r="F5" i="1"/>
  <c r="P5" i="1" s="1"/>
  <c r="E5" i="1"/>
  <c r="O5" i="1" s="1"/>
  <c r="M27" i="1" l="1"/>
  <c r="N7" i="1"/>
  <c r="N27" i="1" s="1"/>
  <c r="E7" i="2"/>
  <c r="Q7" i="2" s="1"/>
  <c r="Q28" i="2" s="1"/>
  <c r="D27" i="2"/>
  <c r="F7" i="2"/>
  <c r="C27" i="2"/>
  <c r="F27" i="2"/>
  <c r="R7" i="2"/>
  <c r="R24" i="2"/>
  <c r="H27" i="2"/>
  <c r="G27" i="2"/>
  <c r="Q24" i="2"/>
  <c r="C27" i="1"/>
  <c r="H27" i="1"/>
  <c r="R27" i="2" l="1"/>
  <c r="E27" i="2"/>
  <c r="Q27" i="2"/>
  <c r="R28" i="2"/>
  <c r="D18" i="6" l="1"/>
  <c r="D21" i="6"/>
  <c r="D11" i="6" l="1"/>
  <c r="D27" i="6"/>
</calcChain>
</file>

<file path=xl/comments1.xml><?xml version="1.0" encoding="utf-8"?>
<comments xmlns="http://schemas.openxmlformats.org/spreadsheetml/2006/main">
  <authors>
    <author>Ekonom6</author>
  </authors>
  <commentList>
    <comment ref="P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10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2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3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4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5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6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7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8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9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sharedStrings.xml><?xml version="1.0" encoding="utf-8"?>
<sst xmlns="http://schemas.openxmlformats.org/spreadsheetml/2006/main" count="2205" uniqueCount="65">
  <si>
    <t>Информация  о задолженности населения и управляющих организаций (ТСЖ) за потребленные жилищно-коммунальные услуги.</t>
  </si>
  <si>
    <t>тыс.руб.</t>
  </si>
  <si>
    <t>№ п/п</t>
  </si>
  <si>
    <t>Наименование</t>
  </si>
  <si>
    <t>Задолженность населения перед управляющими организациями и ТСЖ за ЖКУ (коммунальные услуги и содержание)</t>
  </si>
  <si>
    <t>Задолженность перед МУ ПОК и ТС за КУ</t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</si>
  <si>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ООО "УК "Нарьян-Марстрой" за КУ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</si>
  <si>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ГУП НАО "Нарьян-Марская электростанция" 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</si>
  <si>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ОАО "Нарьян-Марокргаз"  </t>
    </r>
  </si>
  <si>
    <t xml:space="preserve">Задолженность перед ГУП НАО "Ненецкая коммунальная компания" </t>
  </si>
  <si>
    <t>Всего задолженность перед ресурсоснабжающими организациями</t>
  </si>
  <si>
    <t>за коммунальные услуги</t>
  </si>
  <si>
    <t xml:space="preserve"> управляющих организаций за потребленные услуги на собственные нужды</t>
  </si>
  <si>
    <t xml:space="preserve"> 01.01.2017</t>
  </si>
  <si>
    <t xml:space="preserve"> 01.01.2019</t>
  </si>
  <si>
    <t>Население всего, в т.ч.</t>
  </si>
  <si>
    <t>Х</t>
  </si>
  <si>
    <t>1.1.</t>
  </si>
  <si>
    <t>- Непосредственное управление</t>
  </si>
  <si>
    <t>1.2.</t>
  </si>
  <si>
    <t>- Прямые договора, невыбранный способ управления</t>
  </si>
  <si>
    <t>1.3.</t>
  </si>
  <si>
    <t>- ИЖД</t>
  </si>
  <si>
    <t>ООО "Коми-Сервис"</t>
  </si>
  <si>
    <t>-</t>
  </si>
  <si>
    <t>ТСЖ "Дворянское гнездо"</t>
  </si>
  <si>
    <t>ООО "Базис"</t>
  </si>
  <si>
    <t>ООО "Ненецкая управляющая компания"</t>
  </si>
  <si>
    <t>ООО "УК "Нарьян-Марстрой"</t>
  </si>
  <si>
    <t xml:space="preserve"> -</t>
  </si>
  <si>
    <t xml:space="preserve">Нарьян-Марское МУ ПОК и ТС </t>
  </si>
  <si>
    <t xml:space="preserve"> Х</t>
  </si>
  <si>
    <t xml:space="preserve"> - </t>
  </si>
  <si>
    <t>ООО УК "ПОК и ТС"</t>
  </si>
  <si>
    <t>ООО "Наш дом"</t>
  </si>
  <si>
    <t>ООО "Аврора"</t>
  </si>
  <si>
    <t xml:space="preserve">ООО УК "Уютный дом" </t>
  </si>
  <si>
    <t>ООО "Содружество"</t>
  </si>
  <si>
    <t>ООО УК "МКД-Сервис"</t>
  </si>
  <si>
    <t>ООО "Успех"</t>
  </si>
  <si>
    <t>ООО "Служба Заказчика"</t>
  </si>
  <si>
    <t>ОАО "Нарьян-Марстрой"</t>
  </si>
  <si>
    <t>ООО "УК "Служба заказчика"</t>
  </si>
  <si>
    <t>Всего</t>
  </si>
  <si>
    <t>Примечание:</t>
  </si>
  <si>
    <t>Графа 3,4 строка 15,16-  данные указаны по состоянию на 01.01.2015, т.к. организации находятся в процессе ликвидации</t>
  </si>
  <si>
    <t>Графа 4 строка 17 - данные указаны по состоянию на 01.04.2018, т.к. организация находится в процессе ликвидации.</t>
  </si>
  <si>
    <t>Графа 14 строка 1 - данные указаны по состоянию на 01.05.2018, т.к. организация находится в процессе ликвидации.</t>
  </si>
  <si>
    <t>Графа 4 строка 6, графа 8 - данные указаны по состоянию на 01.05.2019 в связи с отсутствием информации от организации</t>
  </si>
  <si>
    <t>http://www.adm-nmar.ru/deyatelnost/zhilishchno-kommunalnaya-sfera/predostavlenie-kommunalnykh-uslug-/</t>
  </si>
  <si>
    <t>ТСЖ "Комфорт"  - Нарьян-Марским МУ ПОК и ТС задолженность списана, МКД под управлением нет.</t>
  </si>
  <si>
    <t>ООО "Базис-Сервис" исключено из списка, т.к. организация ликвидирована 30.04.2019</t>
  </si>
  <si>
    <t>ТСЖ "Служба заказчика" исключено из списка , т.к. организация ликвидирована 25.08.2017 года</t>
  </si>
  <si>
    <t>задолженность ТСЖ "Служба заказчика" перед Нарьян-Марским МУ ПОК и ТС списана, т.к. исключены из реестра налогоплательщиков в августе 2017 г.</t>
  </si>
  <si>
    <t>Задолженность ООО "Служба заказчика" и ООО "Базис-Сервис" перед ГУП НАО "Нарьян-Марская электростанция" списана.</t>
  </si>
  <si>
    <t xml:space="preserve"> 01.01.2020</t>
  </si>
  <si>
    <t>Графа 3,4 строка 17 - данные указаны по состоянию на 01.04.2018, т.к. организация находится в процессе ликвидации.</t>
  </si>
  <si>
    <t>Графа 13,14 строка 1 - данные указаны по состоянию на 01.05.2018, т.к. организация находится в процессе ликвидации.</t>
  </si>
  <si>
    <t>Графа 4 строка 2,12,14 - данные указаны по состоянию на 01.02.2020 в связи с отсутствием информации от организации</t>
  </si>
  <si>
    <t>Графа 4 строка 9 - данные указаны по состоянию на 01.01.2020 в связи с отсутствием информации от организации</t>
  </si>
  <si>
    <t>ООО "Коми-Сервис": строка 2 графа 3 - данные на начало года откорректированы, пояснительную представят позднее, т.к. директор в отпуске.</t>
  </si>
  <si>
    <t>ООО "Наш дом": Данные на чало года откорректированы, пояснительная записка представлена №40 от 03.06.2020</t>
  </si>
  <si>
    <t>Графа 3 строка 2, 9 - данные без учета корректировки, ввиду отсутствия официально исправленной информации от организаций.</t>
  </si>
  <si>
    <t>н</t>
  </si>
  <si>
    <t>Графа 3,4 строка 2, 9 - данные без учета корректировки, ввиду отсутствия официально исправленной информации от организаций.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</si>
</sst>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147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/>
    <xf numFmtId="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6" fillId="0" borderId="0" xfId="0" applyFont="1" applyFill="1"/>
    <xf numFmtId="0" fontId="7" fillId="0" borderId="0" xfId="1" applyAlignment="1" applyProtection="1">
      <alignment horizontal="justify"/>
    </xf>
    <xf numFmtId="4" fontId="8" fillId="0" borderId="0" xfId="0" applyNumberFormat="1" applyFont="1" applyFill="1" applyBorder="1" applyAlignment="1">
      <alignment horizontal="center" vertical="top"/>
    </xf>
    <xf numFmtId="0" fontId="1" fillId="0" borderId="0" xfId="0" applyFont="1" applyFill="1"/>
    <xf numFmtId="0" fontId="0" fillId="0" borderId="0" xfId="0" applyBorder="1"/>
    <xf numFmtId="0" fontId="9" fillId="0" borderId="0" xfId="0" applyFont="1" applyBorder="1"/>
    <xf numFmtId="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0" fontId="9" fillId="0" borderId="0" xfId="0" applyFont="1"/>
    <xf numFmtId="0" fontId="1" fillId="0" borderId="0" xfId="0" applyFont="1"/>
    <xf numFmtId="0" fontId="10" fillId="0" borderId="0" xfId="0" applyFont="1"/>
    <xf numFmtId="4" fontId="5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4" fontId="0" fillId="0" borderId="0" xfId="0" applyNumberFormat="1" applyFill="1"/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14" fillId="0" borderId="0" xfId="0" applyNumberFormat="1" applyFont="1"/>
    <xf numFmtId="4" fontId="14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wrapText="1"/>
    </xf>
    <xf numFmtId="0" fontId="16" fillId="0" borderId="0" xfId="0" applyFont="1" applyFill="1"/>
    <xf numFmtId="4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" fontId="14" fillId="0" borderId="0" xfId="0" applyNumberFormat="1" applyFont="1" applyFill="1"/>
    <xf numFmtId="4" fontId="3" fillId="0" borderId="0" xfId="0" applyNumberFormat="1" applyFont="1" applyFill="1" applyBorder="1"/>
    <xf numFmtId="0" fontId="7" fillId="0" borderId="0" xfId="1" applyFill="1" applyAlignment="1" applyProtection="1">
      <alignment horizontal="justify"/>
    </xf>
    <xf numFmtId="0" fontId="0" fillId="0" borderId="0" xfId="0" applyFill="1" applyBorder="1"/>
    <xf numFmtId="0" fontId="9" fillId="0" borderId="0" xfId="0" applyFont="1" applyFill="1" applyBorder="1"/>
    <xf numFmtId="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top" wrapText="1"/>
    </xf>
    <xf numFmtId="0" fontId="9" fillId="0" borderId="0" xfId="0" applyFont="1" applyFill="1"/>
    <xf numFmtId="0" fontId="10" fillId="0" borderId="0" xfId="0" applyFont="1" applyFill="1"/>
    <xf numFmtId="0" fontId="8" fillId="0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/>
    </xf>
    <xf numFmtId="4" fontId="14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/>
    </xf>
    <xf numFmtId="4" fontId="14" fillId="3" borderId="0" xfId="0" applyNumberFormat="1" applyFont="1" applyFill="1"/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85;&#1072;%20&#1089;&#1072;&#1081;&#1090;%20&#1087;&#1086;%20&#1055;&#1054;&#1050;&#1091;/2018/&#1079;&#1072;&#1076;&#1086;&#1083;&#1078;&#1077;&#1085;&#1085;&#1086;&#1089;&#1090;&#1100;%20&#1085;&#1072;&#1089;&#1077;&#1083;&#1077;&#1085;&#1080;&#1103;%20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Desktop\&#1086;&#1087;&#1091;&#1073;&#1083;&#1080;&#1082;&#1086;&#1074;&#1072;&#1085;&#1080;&#1077;%20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56;&#1077;&#1081;&#1090;&#1080;&#1085;&#1075;%20&#1079;&#1072;&#1076;&#1086;&#1083;&#1078;&#1077;&#1085;&#1085;&#1086;&#1089;&#1090;&#1080;%20&#1085;&#1072;&#1089;&#1077;&#1083;&#1077;&#1085;&#1080;&#1103;/2020/&#1059;&#1054;/&#1085;&#1072;%2001.05.2020/&#1055;&#1054;&#1050;%20&#1080;%20&#1058;&#1057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/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/2020/&#1086;&#1087;&#1091;&#1073;&#1083;&#1080;&#1082;&#1086;&#1074;&#1072;&#1085;&#1080;&#1077;%20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56;&#1077;&#1081;&#1090;&#1080;&#1085;&#1075;%20&#1079;&#1072;&#1076;&#1086;&#1083;&#1078;&#1077;&#1085;&#1085;&#1086;&#1089;&#1090;&#1080;%20&#1085;&#1072;&#1089;&#1077;&#1083;&#1077;&#1085;&#1080;&#1103;/2020/&#1059;&#1054;/&#1085;&#1072;%2001.06.2020/&#1055;&#1054;&#1050;%20&#1080;%20&#1058;&#1057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56;&#1077;&#1081;&#1090;&#1080;&#1085;&#1075;%20&#1079;&#1072;&#1076;&#1086;&#1083;&#1078;&#1077;&#1085;&#1085;&#1086;&#1089;&#1090;&#1080;%20&#1085;&#1072;&#1089;&#1077;&#1083;&#1077;&#1085;&#1080;&#1103;/2020/&#1059;&#1054;/&#1085;&#1072;%2001.07.2020/&#1052;&#1059;%20&#1055;&#1054;&#1050;&#1080;&#1058;&#1057;/&#1088;&#1077;&#1081;&#1090;&#1080;&#1085;&#1075;%20&#1079;&#1072;&#1076;&#1086;&#1083;&#1078;&#1077;&#1085;&#1085;&#1086;&#1089;&#1090;&#1080;/&#1088;&#1077;&#1081;&#1090;&#1080;&#1085;&#1075;%20-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/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/2020/&#1086;&#1087;&#1091;&#1073;&#1083;&#1080;&#1082;&#1086;&#1074;&#1072;&#1085;&#1080;&#1077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56;&#1077;&#1081;&#1090;&#1080;&#1085;&#1075;%20&#1079;&#1072;&#1076;&#1086;&#1083;&#1078;&#1077;&#1085;&#1085;&#1086;&#1089;&#1090;&#1080;%20&#1085;&#1072;&#1089;&#1077;&#1083;&#1077;&#1085;&#1080;&#1103;/2019/&#1086;&#1090;%20&#1059;&#1050;/&#1085;&#1072;%2001.01.2020/&#1055;&#1054;&#1050;&#1080;&#1058;&#105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/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/2019/&#1086;&#1087;&#1091;&#1073;&#1083;&#1080;&#1082;&#1086;&#1074;&#1072;&#1085;&#1080;&#1077;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85;&#1072;%20&#1089;&#1072;&#1081;&#1090;%20&#1087;&#1086;%20&#1055;&#1054;&#1050;&#1091;/2016/&#1079;&#1072;&#1076;&#1086;&#1083;&#1078;&#1077;&#1085;&#1085;&#1086;&#1089;&#1090;&#1100;%20&#1085;&#1072;&#1089;&#1077;&#1083;&#1077;&#1085;&#1080;&#1103;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85;&#1072;%20&#1089;&#1072;&#1081;&#1090;%20&#1087;&#1086;%20&#1055;&#1054;&#1050;&#1091;/2017/&#1079;&#1072;&#1076;&#1086;&#1083;&#1078;&#1077;&#1085;&#1085;&#1086;&#1089;&#1090;&#1100;%20&#1085;&#1072;&#1089;&#1077;&#1083;&#1077;&#1085;&#1080;&#1103;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85;&#1072;%20&#1089;&#1072;&#1081;&#1090;%20&#1087;&#1086;%20&#1055;&#1054;&#1050;&#1091;/2019/&#1079;&#1072;&#1076;&#1086;&#1083;&#1078;&#1077;&#1085;&#1085;&#1086;&#1089;&#1090;&#1100;%20&#1085;&#1072;&#1089;&#1077;&#1083;&#1077;&#1085;&#1080;&#1103;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56;&#1077;&#1081;&#1090;&#1080;&#1085;&#1075;%20&#1079;&#1072;&#1076;&#1086;&#1083;&#1078;&#1077;&#1085;&#1085;&#1086;&#1089;&#1090;&#1080;%20&#1085;&#1072;&#1089;&#1077;&#1083;&#1077;&#1085;&#1080;&#1103;/2020/&#1059;&#1054;/&#1052;&#1059;%20&#1055;&#1054;&#105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56;&#1077;&#1081;&#1090;&#1080;&#1085;&#1075;%20&#1079;&#1072;&#1076;&#1086;&#1083;&#1078;&#1077;&#1085;&#1085;&#1086;&#1089;&#1090;&#1080;%20&#1085;&#1072;&#1089;&#1077;&#1083;&#1077;&#1085;&#1080;&#1103;/2020/&#1059;&#1054;/&#1085;&#1072;%2001.03.2020/&#1052;&#1059;%20&#1055;&#1054;&#1050;%20&#1080;&#1058;&#1057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56;&#1077;&#1081;&#1090;&#1080;&#1085;&#1075;%20&#1079;&#1072;&#1076;&#1086;&#1083;&#1078;&#1077;&#1085;&#1085;&#1086;&#1089;&#1090;&#1080;%20&#1085;&#1072;&#1089;&#1077;&#1083;&#1077;&#1085;&#1080;&#1103;/2020/&#1059;&#1054;/&#1085;&#1072;%2001.04.2020/&#1052;&#1059;%20&#1055;&#1054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2.2018"/>
      <sheetName val="01.03.2018"/>
      <sheetName val="01.04.2018 "/>
      <sheetName val="01.05.2018"/>
      <sheetName val="01.06.2018"/>
      <sheetName val="01.07.2018"/>
      <sheetName val="01.08.2018"/>
      <sheetName val="01.09.2018"/>
      <sheetName val="01.10.2018 "/>
      <sheetName val="01.11.2018"/>
      <sheetName val="01.12.2018 "/>
      <sheetName val="01.01.2019"/>
      <sheetName val="Лист1"/>
    </sheetNames>
    <sheetDataSet>
      <sheetData sheetId="0"/>
      <sheetData sheetId="1"/>
      <sheetData sheetId="2"/>
      <sheetData sheetId="3">
        <row r="7">
          <cell r="N7">
            <v>2685.86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7">
          <cell r="H7">
            <v>5699.9940000000006</v>
          </cell>
        </row>
        <row r="8">
          <cell r="H8">
            <v>651.89999999999986</v>
          </cell>
        </row>
        <row r="9">
          <cell r="H9">
            <v>16251.500000000002</v>
          </cell>
        </row>
        <row r="10">
          <cell r="H10">
            <v>9522.7999999999993</v>
          </cell>
        </row>
        <row r="11">
          <cell r="H11">
            <v>30846.329999999998</v>
          </cell>
        </row>
        <row r="12">
          <cell r="H12">
            <v>6515.3199999999988</v>
          </cell>
        </row>
        <row r="13">
          <cell r="H13">
            <v>2252</v>
          </cell>
        </row>
        <row r="14">
          <cell r="H14">
            <v>62552.770000000004</v>
          </cell>
        </row>
        <row r="15">
          <cell r="H15">
            <v>17219.334000000003</v>
          </cell>
        </row>
        <row r="16">
          <cell r="H16">
            <v>9405.7000000000007</v>
          </cell>
        </row>
        <row r="17">
          <cell r="H17">
            <v>5842.5599999999995</v>
          </cell>
        </row>
        <row r="18">
          <cell r="H18">
            <v>1262.44</v>
          </cell>
        </row>
        <row r="19">
          <cell r="H19">
            <v>6154.7580000000016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91">
          <cell r="I191">
            <v>68096273.579999998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 refreshError="1">
        <row r="7">
          <cell r="I7">
            <v>5713.5599999999995</v>
          </cell>
          <cell r="J7">
            <v>5525.65</v>
          </cell>
          <cell r="K7">
            <v>5487.4500000000007</v>
          </cell>
          <cell r="L7">
            <v>5464.92</v>
          </cell>
          <cell r="M7">
            <v>5464.92</v>
          </cell>
        </row>
        <row r="8">
          <cell r="I8">
            <v>742</v>
          </cell>
          <cell r="J8">
            <v>792.10000000000036</v>
          </cell>
          <cell r="K8">
            <v>549.10000000000036</v>
          </cell>
          <cell r="L8">
            <v>549.10000000000036</v>
          </cell>
          <cell r="M8">
            <v>498.90000000000055</v>
          </cell>
        </row>
        <row r="9">
          <cell r="I9">
            <v>16486.100000000002</v>
          </cell>
          <cell r="J9">
            <v>16777.300000000003</v>
          </cell>
          <cell r="K9">
            <v>16758.600000000002</v>
          </cell>
          <cell r="L9">
            <v>16764.000000000004</v>
          </cell>
          <cell r="M9">
            <v>17247.000000000004</v>
          </cell>
        </row>
        <row r="10">
          <cell r="I10">
            <v>9877.1</v>
          </cell>
          <cell r="J10">
            <v>10238.300000000003</v>
          </cell>
          <cell r="K10">
            <v>10340.100000000002</v>
          </cell>
          <cell r="L10">
            <v>10808.700000000003</v>
          </cell>
          <cell r="M10">
            <v>11231.600000000002</v>
          </cell>
        </row>
        <row r="11">
          <cell r="I11">
            <v>30846.329999999998</v>
          </cell>
          <cell r="J11">
            <v>30846.329999999998</v>
          </cell>
          <cell r="K11">
            <v>30846.329999999998</v>
          </cell>
          <cell r="L11">
            <v>30846.329999999998</v>
          </cell>
          <cell r="M11">
            <v>30846.329999999998</v>
          </cell>
        </row>
        <row r="12">
          <cell r="I12">
            <v>6511.9199999999973</v>
          </cell>
          <cell r="J12">
            <v>6534.9199999999992</v>
          </cell>
          <cell r="K12">
            <v>6571.4200000000028</v>
          </cell>
          <cell r="L12">
            <v>7176.4200000000028</v>
          </cell>
          <cell r="M12">
            <v>8130.8200000000043</v>
          </cell>
        </row>
        <row r="13">
          <cell r="I13">
            <v>2252</v>
          </cell>
          <cell r="J13">
            <v>2252</v>
          </cell>
          <cell r="K13">
            <v>2252</v>
          </cell>
          <cell r="L13">
            <v>2252</v>
          </cell>
          <cell r="M13">
            <v>2252</v>
          </cell>
        </row>
        <row r="14">
          <cell r="I14">
            <v>63107.55</v>
          </cell>
          <cell r="J14">
            <v>62967.039999999994</v>
          </cell>
          <cell r="K14">
            <v>63478.01</v>
          </cell>
          <cell r="L14">
            <v>59502.409999999996</v>
          </cell>
          <cell r="M14">
            <v>58594.409999999989</v>
          </cell>
        </row>
        <row r="15">
          <cell r="I15">
            <v>17389.82</v>
          </cell>
          <cell r="J15">
            <v>17302.22</v>
          </cell>
          <cell r="K15">
            <v>17174.13</v>
          </cell>
          <cell r="L15">
            <v>17029.099999999999</v>
          </cell>
          <cell r="M15">
            <v>17029.099999999999</v>
          </cell>
        </row>
        <row r="16">
          <cell r="I16">
            <v>9403.2000000000007</v>
          </cell>
          <cell r="J16">
            <v>9574.7999999999993</v>
          </cell>
          <cell r="K16">
            <v>9396</v>
          </cell>
          <cell r="L16">
            <v>9490.8000000000011</v>
          </cell>
          <cell r="M16">
            <v>9619.3000000000029</v>
          </cell>
        </row>
        <row r="17">
          <cell r="I17">
            <v>5999.9299999999985</v>
          </cell>
          <cell r="J17">
            <v>6193.4599999999982</v>
          </cell>
          <cell r="K17">
            <v>6132.6099999999988</v>
          </cell>
          <cell r="L17">
            <v>6132.6099999999988</v>
          </cell>
          <cell r="M17">
            <v>6533.6599999999944</v>
          </cell>
        </row>
        <row r="18">
          <cell r="I18">
            <v>1514.5500000000002</v>
          </cell>
          <cell r="J18">
            <v>1599.4299999999998</v>
          </cell>
          <cell r="K18">
            <v>1739.29</v>
          </cell>
          <cell r="L18">
            <v>1739.29</v>
          </cell>
          <cell r="M18">
            <v>1801.4200000000005</v>
          </cell>
        </row>
        <row r="19">
          <cell r="I19">
            <v>6414.4580000000024</v>
          </cell>
          <cell r="J19">
            <v>6852.228000000001</v>
          </cell>
          <cell r="K19">
            <v>7081.1280000000006</v>
          </cell>
          <cell r="L19">
            <v>7076.8280000000013</v>
          </cell>
          <cell r="M19">
            <v>7649.7880000000005</v>
          </cell>
        </row>
        <row r="20">
          <cell r="L20">
            <v>38062.04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93">
          <cell r="I193">
            <v>68437826.959999993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18">
          <cell r="I218">
            <v>69340599.710000038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7">
          <cell r="N7">
            <v>5464.92</v>
          </cell>
        </row>
        <row r="8">
          <cell r="N8">
            <v>472.60000000000036</v>
          </cell>
        </row>
        <row r="9">
          <cell r="N9">
            <v>16937.2</v>
          </cell>
        </row>
        <row r="10">
          <cell r="N10">
            <v>11150.300000000003</v>
          </cell>
        </row>
        <row r="11">
          <cell r="N11">
            <v>30846.329999999998</v>
          </cell>
        </row>
        <row r="12">
          <cell r="N12">
            <v>7375.2200000000021</v>
          </cell>
        </row>
        <row r="13">
          <cell r="N13">
            <v>2252</v>
          </cell>
        </row>
        <row r="14">
          <cell r="N14">
            <v>60973.280000000013</v>
          </cell>
        </row>
        <row r="15">
          <cell r="N15">
            <v>17029.099999999999</v>
          </cell>
        </row>
        <row r="16">
          <cell r="N16">
            <v>9696.4000000000015</v>
          </cell>
        </row>
        <row r="17">
          <cell r="N17">
            <v>6506.7799999999952</v>
          </cell>
        </row>
        <row r="18">
          <cell r="N18">
            <v>1938.8000000000006</v>
          </cell>
        </row>
        <row r="19">
          <cell r="N19">
            <v>8019.3079999999973</v>
          </cell>
        </row>
        <row r="20">
          <cell r="N20">
            <v>38062.04</v>
          </cell>
        </row>
        <row r="22">
          <cell r="N22">
            <v>4156.6099999999997</v>
          </cell>
        </row>
        <row r="23">
          <cell r="N23">
            <v>20182.280000000002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54">
          <cell r="K154">
            <v>49757100.100000001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6">
          <cell r="I6">
            <v>238468.11899999995</v>
          </cell>
        </row>
        <row r="7">
          <cell r="D7">
            <v>7902</v>
          </cell>
          <cell r="P7">
            <v>5650.0309999999999</v>
          </cell>
        </row>
        <row r="8">
          <cell r="D8">
            <v>805.29999999999836</v>
          </cell>
          <cell r="P8">
            <v>673.89999999999964</v>
          </cell>
        </row>
        <row r="9">
          <cell r="D9">
            <v>25904.399999999987</v>
          </cell>
          <cell r="P9">
            <v>20434.799999999988</v>
          </cell>
        </row>
        <row r="10">
          <cell r="D10">
            <v>12780.999999999998</v>
          </cell>
          <cell r="P10">
            <v>10040.79999999999</v>
          </cell>
        </row>
        <row r="11">
          <cell r="D11">
            <v>30852.269999999982</v>
          </cell>
          <cell r="P11">
            <v>30846.32999999998</v>
          </cell>
        </row>
        <row r="12">
          <cell r="D12">
            <v>3977.66</v>
          </cell>
          <cell r="P12">
            <v>6023.6200000000044</v>
          </cell>
        </row>
        <row r="13">
          <cell r="D13">
            <v>2252</v>
          </cell>
          <cell r="P13">
            <v>2252</v>
          </cell>
        </row>
        <row r="14">
          <cell r="D14">
            <v>60814.039999999986</v>
          </cell>
          <cell r="P14">
            <v>61241.929999999978</v>
          </cell>
        </row>
        <row r="15">
          <cell r="D15">
            <v>18529.73</v>
          </cell>
          <cell r="P15">
            <v>17219.333999999995</v>
          </cell>
        </row>
        <row r="16">
          <cell r="D16">
            <v>8184.8000000000011</v>
          </cell>
          <cell r="P16">
            <v>9515.3999999999978</v>
          </cell>
        </row>
        <row r="17">
          <cell r="D17">
            <v>7984.4800000000014</v>
          </cell>
          <cell r="P17">
            <v>5118.8900000000049</v>
          </cell>
        </row>
        <row r="18">
          <cell r="C18" t="str">
            <v>-</v>
          </cell>
          <cell r="P18">
            <v>804.08999999999992</v>
          </cell>
        </row>
        <row r="19">
          <cell r="P19">
            <v>5355.3780000000006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1.2016"/>
      <sheetName val="01.02.2016"/>
      <sheetName val="01.03.2016"/>
      <sheetName val="01.04.2016"/>
      <sheetName val="01.05.2016"/>
      <sheetName val="01.06.2016"/>
      <sheetName val="01.07.2016"/>
      <sheetName val="01.08.2016"/>
      <sheetName val="01.09.2016"/>
      <sheetName val="01.10.2016"/>
      <sheetName val="01.11.2016"/>
      <sheetName val="01.12.2016"/>
      <sheetName val="01.01.2017"/>
    </sheetNames>
    <sheetDataSet>
      <sheetData sheetId="0">
        <row r="7">
          <cell r="J7">
            <v>17635.34</v>
          </cell>
        </row>
        <row r="18">
          <cell r="H18" t="str">
            <v>-</v>
          </cell>
        </row>
        <row r="19">
          <cell r="H19" t="str">
            <v>-</v>
          </cell>
        </row>
        <row r="24">
          <cell r="F24" t="str">
            <v>-</v>
          </cell>
          <cell r="H24" t="str">
            <v>-</v>
          </cell>
          <cell r="L24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L10">
            <v>62.9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1.2017"/>
      <sheetName val="01.02.2017"/>
      <sheetName val="01.03.2017"/>
      <sheetName val="01.04.2017"/>
      <sheetName val="01.05.2017"/>
      <sheetName val="01.06.2017"/>
      <sheetName val="01.07.2017 "/>
      <sheetName val="01.08.2017 "/>
      <sheetName val="01.09.2017"/>
      <sheetName val="01.10.2017"/>
      <sheetName val="01.11.2017 "/>
      <sheetName val="01.12.2017"/>
      <sheetName val="01.01.2018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J7">
            <v>16771.509999999998</v>
          </cell>
        </row>
        <row r="23">
          <cell r="D23">
            <v>38062.04</v>
          </cell>
          <cell r="H23">
            <v>3575.81</v>
          </cell>
        </row>
        <row r="25">
          <cell r="D25">
            <v>4156.6099999999997</v>
          </cell>
        </row>
      </sheetData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2.2019"/>
      <sheetName val="01.03.2019 "/>
      <sheetName val="01.04.2019"/>
      <sheetName val="01.05.2019"/>
      <sheetName val="01.06.2019"/>
      <sheetName val="01.07.2019 "/>
      <sheetName val="01.08.2019"/>
      <sheetName val="01.09.2019"/>
      <sheetName val="01.10.2019"/>
      <sheetName val="01.11.2019"/>
      <sheetName val="01.12.2019"/>
      <sheetName val="01.01.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6">
          <cell r="C26">
            <v>20182.28</v>
          </cell>
        </row>
      </sheetData>
      <sheetData sheetId="9"/>
      <sheetData sheetId="10"/>
      <sheetData sheetId="11">
        <row r="11">
          <cell r="D11">
            <v>5650.0309999999999</v>
          </cell>
        </row>
        <row r="12">
          <cell r="D12">
            <v>673.89999999999964</v>
          </cell>
        </row>
        <row r="13">
          <cell r="D13">
            <v>20434.799999999988</v>
          </cell>
        </row>
        <row r="14">
          <cell r="D14">
            <v>10040.79999999999</v>
          </cell>
        </row>
        <row r="15">
          <cell r="D15">
            <v>30846.32999999998</v>
          </cell>
        </row>
        <row r="16">
          <cell r="D16">
            <v>2252</v>
          </cell>
        </row>
        <row r="17">
          <cell r="D17">
            <v>61241.929999999978</v>
          </cell>
        </row>
        <row r="18">
          <cell r="D18">
            <v>17219.333999999995</v>
          </cell>
        </row>
        <row r="19">
          <cell r="D19">
            <v>9515.3999999999978</v>
          </cell>
        </row>
        <row r="20">
          <cell r="D20">
            <v>6023.6200000000044</v>
          </cell>
        </row>
        <row r="21">
          <cell r="D21">
            <v>5118.8900000000049</v>
          </cell>
        </row>
        <row r="22">
          <cell r="D22">
            <v>804.08999999999992</v>
          </cell>
        </row>
        <row r="23">
          <cell r="D23">
            <v>5355.3780000000006</v>
          </cell>
        </row>
        <row r="24">
          <cell r="D24">
            <v>38062.04</v>
          </cell>
        </row>
        <row r="25">
          <cell r="D25">
            <v>4156.6099999999997</v>
          </cell>
        </row>
        <row r="26">
          <cell r="D26">
            <v>20182.28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0">
          <cell r="K160">
            <v>58451623.910000019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3">
          <cell r="K163">
            <v>63517817.380000003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85">
          <cell r="K185">
            <v>65890706.130000003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4"/>
  <sheetViews>
    <sheetView view="pageBreakPreview" zoomScaleNormal="100" zoomScaleSheetLayoutView="100" workbookViewId="0">
      <selection activeCell="P7" sqref="P7"/>
    </sheetView>
  </sheetViews>
  <sheetFormatPr defaultRowHeight="15" x14ac:dyDescent="0.25"/>
  <cols>
    <col min="1" max="1" width="7.42578125" customWidth="1"/>
    <col min="2" max="2" width="32.5703125" customWidth="1"/>
    <col min="3" max="3" width="12.7109375" customWidth="1"/>
    <col min="4" max="4" width="14" customWidth="1"/>
    <col min="5" max="5" width="12.85546875" customWidth="1"/>
    <col min="6" max="6" width="12.42578125" customWidth="1"/>
    <col min="7" max="7" width="14.42578125" customWidth="1"/>
    <col min="8" max="9" width="12.7109375" customWidth="1"/>
    <col min="10" max="13" width="11.7109375" customWidth="1"/>
    <col min="14" max="16" width="13.5703125" customWidth="1"/>
    <col min="17" max="17" width="14.85546875" customWidth="1"/>
    <col min="18" max="18" width="15" customWidth="1"/>
  </cols>
  <sheetData>
    <row r="1" spans="1:18" ht="30.75" customHeight="1" x14ac:dyDescent="0.25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"/>
      <c r="P1" s="1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 t="s">
        <v>1</v>
      </c>
    </row>
    <row r="3" spans="1:18" ht="51" customHeight="1" x14ac:dyDescent="0.25">
      <c r="A3" s="111" t="s">
        <v>2</v>
      </c>
      <c r="B3" s="111" t="s">
        <v>3</v>
      </c>
      <c r="C3" s="112" t="s">
        <v>4</v>
      </c>
      <c r="D3" s="113"/>
      <c r="E3" s="112" t="s">
        <v>5</v>
      </c>
      <c r="F3" s="113"/>
      <c r="G3" s="112" t="s">
        <v>6</v>
      </c>
      <c r="H3" s="113"/>
      <c r="I3" s="116" t="s">
        <v>7</v>
      </c>
      <c r="J3" s="117"/>
      <c r="K3" s="117"/>
      <c r="L3" s="118"/>
      <c r="M3" s="111" t="s">
        <v>8</v>
      </c>
      <c r="N3" s="111"/>
      <c r="O3" s="111" t="s">
        <v>9</v>
      </c>
      <c r="P3" s="111"/>
      <c r="Q3" s="120" t="s">
        <v>10</v>
      </c>
      <c r="R3" s="121"/>
    </row>
    <row r="4" spans="1:18" ht="62.25" customHeight="1" x14ac:dyDescent="0.25">
      <c r="A4" s="111"/>
      <c r="B4" s="111"/>
      <c r="C4" s="114"/>
      <c r="D4" s="115"/>
      <c r="E4" s="114"/>
      <c r="F4" s="115"/>
      <c r="G4" s="114"/>
      <c r="H4" s="115"/>
      <c r="I4" s="116" t="s">
        <v>11</v>
      </c>
      <c r="J4" s="118"/>
      <c r="K4" s="116" t="s">
        <v>12</v>
      </c>
      <c r="L4" s="118"/>
      <c r="M4" s="111" t="s">
        <v>11</v>
      </c>
      <c r="N4" s="111"/>
      <c r="O4" s="111" t="s">
        <v>11</v>
      </c>
      <c r="P4" s="111"/>
      <c r="Q4" s="122" t="s">
        <v>13</v>
      </c>
      <c r="R4" s="123">
        <f>D5</f>
        <v>43831</v>
      </c>
    </row>
    <row r="5" spans="1:18" s="2" customFormat="1" ht="15" customHeight="1" x14ac:dyDescent="0.25">
      <c r="A5" s="111"/>
      <c r="B5" s="111"/>
      <c r="C5" s="4" t="s">
        <v>14</v>
      </c>
      <c r="D5" s="5">
        <v>43831</v>
      </c>
      <c r="E5" s="4" t="str">
        <f>C5</f>
        <v xml:space="preserve"> 01.01.2019</v>
      </c>
      <c r="F5" s="5">
        <f>D5</f>
        <v>43831</v>
      </c>
      <c r="G5" s="4" t="str">
        <f>C5</f>
        <v xml:space="preserve"> 01.01.2019</v>
      </c>
      <c r="H5" s="5">
        <f>D5</f>
        <v>43831</v>
      </c>
      <c r="I5" s="6" t="str">
        <f>C5</f>
        <v xml:space="preserve"> 01.01.2019</v>
      </c>
      <c r="J5" s="5">
        <f>D5</f>
        <v>43831</v>
      </c>
      <c r="K5" s="6" t="str">
        <f>C5</f>
        <v xml:space="preserve"> 01.01.2019</v>
      </c>
      <c r="L5" s="5">
        <f>D5</f>
        <v>43831</v>
      </c>
      <c r="M5" s="4" t="str">
        <f>C5</f>
        <v xml:space="preserve"> 01.01.2019</v>
      </c>
      <c r="N5" s="5">
        <f>D5</f>
        <v>43831</v>
      </c>
      <c r="O5" s="4" t="str">
        <f>E5</f>
        <v xml:space="preserve"> 01.01.2019</v>
      </c>
      <c r="P5" s="5">
        <f>F5</f>
        <v>43831</v>
      </c>
      <c r="Q5" s="122"/>
      <c r="R5" s="124"/>
    </row>
    <row r="6" spans="1:18" ht="15.7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7">
        <v>9</v>
      </c>
      <c r="J6" s="7">
        <v>10</v>
      </c>
      <c r="K6" s="7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8">
        <v>15</v>
      </c>
      <c r="R6" s="8">
        <v>16</v>
      </c>
    </row>
    <row r="7" spans="1:18" ht="15.75" x14ac:dyDescent="0.25">
      <c r="A7" s="9">
        <v>1</v>
      </c>
      <c r="B7" s="10" t="s">
        <v>15</v>
      </c>
      <c r="C7" s="11" t="s">
        <v>16</v>
      </c>
      <c r="D7" s="11" t="s">
        <v>16</v>
      </c>
      <c r="E7" s="11">
        <f>E8+E10+E9</f>
        <v>20168.426129999996</v>
      </c>
      <c r="F7" s="11">
        <f>F8+F10+F9</f>
        <v>53600.531910000005</v>
      </c>
      <c r="G7" s="11" t="s">
        <v>16</v>
      </c>
      <c r="H7" s="11" t="s">
        <v>16</v>
      </c>
      <c r="I7" s="12">
        <v>22118.6</v>
      </c>
      <c r="J7" s="12">
        <v>19788.080000000002</v>
      </c>
      <c r="K7" s="11" t="s">
        <v>16</v>
      </c>
      <c r="L7" s="11" t="s">
        <v>16</v>
      </c>
      <c r="M7" s="12">
        <v>2685.86</v>
      </c>
      <c r="N7" s="12">
        <f>'[1]01.05.2018'!N7</f>
        <v>2685.86</v>
      </c>
      <c r="O7" s="12">
        <v>13175.222</v>
      </c>
      <c r="P7" s="12">
        <v>15024.05</v>
      </c>
      <c r="Q7" s="13">
        <f>E7+I7+M7</f>
        <v>44972.886129999999</v>
      </c>
      <c r="R7" s="13">
        <f>F7+J7+N7</f>
        <v>76074.471910000007</v>
      </c>
    </row>
    <row r="8" spans="1:18" ht="17.25" customHeight="1" x14ac:dyDescent="0.25">
      <c r="A8" s="14" t="s">
        <v>17</v>
      </c>
      <c r="B8" s="15" t="s">
        <v>18</v>
      </c>
      <c r="C8" s="11" t="s">
        <v>16</v>
      </c>
      <c r="D8" s="11" t="s">
        <v>16</v>
      </c>
      <c r="E8" s="12">
        <f>2930441.27/1000</f>
        <v>2930.4412699999998</v>
      </c>
      <c r="F8" s="12">
        <f>3804630.15/1000</f>
        <v>3804.63015</v>
      </c>
      <c r="G8" s="11" t="s">
        <v>16</v>
      </c>
      <c r="H8" s="11" t="s">
        <v>16</v>
      </c>
      <c r="I8" s="11" t="s">
        <v>16</v>
      </c>
      <c r="J8" s="11" t="s">
        <v>16</v>
      </c>
      <c r="K8" s="11" t="s">
        <v>16</v>
      </c>
      <c r="L8" s="11" t="s">
        <v>16</v>
      </c>
      <c r="M8" s="11" t="s">
        <v>16</v>
      </c>
      <c r="N8" s="11" t="s">
        <v>16</v>
      </c>
      <c r="O8" s="11" t="s">
        <v>16</v>
      </c>
      <c r="P8" s="11" t="s">
        <v>16</v>
      </c>
      <c r="Q8" s="13"/>
      <c r="R8" s="11"/>
    </row>
    <row r="9" spans="1:18" ht="44.25" customHeight="1" x14ac:dyDescent="0.25">
      <c r="A9" s="14" t="s">
        <v>19</v>
      </c>
      <c r="B9" s="16" t="s">
        <v>20</v>
      </c>
      <c r="C9" s="11" t="s">
        <v>16</v>
      </c>
      <c r="D9" s="11" t="s">
        <v>16</v>
      </c>
      <c r="E9" s="12">
        <f>17187626.58/1000</f>
        <v>17187.626579999996</v>
      </c>
      <c r="F9" s="12">
        <f>[2]TDSheet!$K$154/1000</f>
        <v>49757.100100000003</v>
      </c>
      <c r="G9" s="11" t="s">
        <v>16</v>
      </c>
      <c r="H9" s="11" t="s">
        <v>16</v>
      </c>
      <c r="I9" s="11" t="s">
        <v>16</v>
      </c>
      <c r="J9" s="11" t="s">
        <v>16</v>
      </c>
      <c r="K9" s="11" t="s">
        <v>16</v>
      </c>
      <c r="L9" s="11" t="s">
        <v>16</v>
      </c>
      <c r="M9" s="11" t="s">
        <v>16</v>
      </c>
      <c r="N9" s="11" t="s">
        <v>16</v>
      </c>
      <c r="O9" s="11" t="s">
        <v>16</v>
      </c>
      <c r="P9" s="11" t="s">
        <v>16</v>
      </c>
      <c r="Q9" s="13"/>
      <c r="R9" s="11"/>
    </row>
    <row r="10" spans="1:18" ht="15.75" x14ac:dyDescent="0.25">
      <c r="A10" s="14" t="s">
        <v>21</v>
      </c>
      <c r="B10" s="17" t="s">
        <v>22</v>
      </c>
      <c r="C10" s="11" t="s">
        <v>16</v>
      </c>
      <c r="D10" s="11" t="s">
        <v>16</v>
      </c>
      <c r="E10" s="12">
        <f>50358.28/1000</f>
        <v>50.358280000000001</v>
      </c>
      <c r="F10" s="12">
        <f>38801.66/1000</f>
        <v>38.801660000000005</v>
      </c>
      <c r="G10" s="11" t="s">
        <v>16</v>
      </c>
      <c r="H10" s="11" t="s">
        <v>16</v>
      </c>
      <c r="I10" s="11" t="s">
        <v>16</v>
      </c>
      <c r="J10" s="11" t="s">
        <v>16</v>
      </c>
      <c r="K10" s="11" t="s">
        <v>16</v>
      </c>
      <c r="L10" s="11" t="s">
        <v>16</v>
      </c>
      <c r="M10" s="11" t="s">
        <v>16</v>
      </c>
      <c r="N10" s="11" t="s">
        <v>16</v>
      </c>
      <c r="O10" s="11" t="s">
        <v>16</v>
      </c>
      <c r="P10" s="11" t="s">
        <v>16</v>
      </c>
      <c r="Q10" s="13"/>
      <c r="R10" s="11"/>
    </row>
    <row r="11" spans="1:18" ht="15.75" x14ac:dyDescent="0.25">
      <c r="A11" s="14">
        <v>2</v>
      </c>
      <c r="B11" s="18" t="s">
        <v>23</v>
      </c>
      <c r="C11" s="11">
        <f>[3]Свод!$D$7</f>
        <v>7902</v>
      </c>
      <c r="D11" s="11">
        <f>[3]Свод!$P$7</f>
        <v>5650.0309999999999</v>
      </c>
      <c r="E11" s="11">
        <v>16079</v>
      </c>
      <c r="F11" s="11">
        <v>15925</v>
      </c>
      <c r="G11" s="11" t="s">
        <v>24</v>
      </c>
      <c r="H11" s="11" t="s">
        <v>24</v>
      </c>
      <c r="I11" s="11" t="s">
        <v>16</v>
      </c>
      <c r="J11" s="11" t="s">
        <v>16</v>
      </c>
      <c r="K11" s="12">
        <v>8.16</v>
      </c>
      <c r="L11" s="12">
        <v>6.36</v>
      </c>
      <c r="M11" s="11" t="s">
        <v>16</v>
      </c>
      <c r="N11" s="11" t="s">
        <v>16</v>
      </c>
      <c r="O11" s="11" t="s">
        <v>16</v>
      </c>
      <c r="P11" s="11" t="s">
        <v>16</v>
      </c>
      <c r="Q11" s="13">
        <f>E11+K11</f>
        <v>16087.16</v>
      </c>
      <c r="R11" s="13">
        <f>F11+L11</f>
        <v>15931.36</v>
      </c>
    </row>
    <row r="12" spans="1:18" ht="15.75" x14ac:dyDescent="0.25">
      <c r="A12" s="14">
        <f>A11+1</f>
        <v>3</v>
      </c>
      <c r="B12" s="18" t="s">
        <v>25</v>
      </c>
      <c r="C12" s="11">
        <f>[3]Свод!$D$8</f>
        <v>805.29999999999836</v>
      </c>
      <c r="D12" s="11">
        <f>[3]Свод!$P$8</f>
        <v>673.89999999999964</v>
      </c>
      <c r="E12" s="11">
        <v>92</v>
      </c>
      <c r="F12" s="11">
        <v>112</v>
      </c>
      <c r="G12" s="11" t="s">
        <v>24</v>
      </c>
      <c r="H12" s="11" t="s">
        <v>24</v>
      </c>
      <c r="I12" s="11" t="s">
        <v>16</v>
      </c>
      <c r="J12" s="11" t="s">
        <v>16</v>
      </c>
      <c r="K12" s="12">
        <v>0</v>
      </c>
      <c r="L12" s="12">
        <v>0</v>
      </c>
      <c r="M12" s="11" t="s">
        <v>16</v>
      </c>
      <c r="N12" s="11" t="s">
        <v>16</v>
      </c>
      <c r="O12" s="11" t="s">
        <v>16</v>
      </c>
      <c r="P12" s="11" t="s">
        <v>16</v>
      </c>
      <c r="Q12" s="13">
        <f t="shared" ref="Q12:Q19" si="0">E12+K12</f>
        <v>92</v>
      </c>
      <c r="R12" s="13">
        <f>F12+L12</f>
        <v>112</v>
      </c>
    </row>
    <row r="13" spans="1:18" ht="18" customHeight="1" x14ac:dyDescent="0.25">
      <c r="A13" s="14">
        <f t="shared" ref="A13:A14" si="1">A12+1</f>
        <v>4</v>
      </c>
      <c r="B13" s="18" t="s">
        <v>26</v>
      </c>
      <c r="C13" s="11">
        <f>[3]Свод!$D$9</f>
        <v>25904.399999999987</v>
      </c>
      <c r="D13" s="11">
        <f>[3]Свод!$P$9</f>
        <v>20434.799999999988</v>
      </c>
      <c r="E13" s="11">
        <v>27602</v>
      </c>
      <c r="F13" s="11">
        <v>26253</v>
      </c>
      <c r="G13" s="11" t="s">
        <v>24</v>
      </c>
      <c r="H13" s="11" t="s">
        <v>24</v>
      </c>
      <c r="I13" s="11" t="s">
        <v>16</v>
      </c>
      <c r="J13" s="11" t="s">
        <v>16</v>
      </c>
      <c r="K13" s="12">
        <v>21.65</v>
      </c>
      <c r="L13" s="12">
        <v>22.36</v>
      </c>
      <c r="M13" s="11" t="s">
        <v>16</v>
      </c>
      <c r="N13" s="11" t="s">
        <v>16</v>
      </c>
      <c r="O13" s="11" t="s">
        <v>16</v>
      </c>
      <c r="P13" s="11" t="s">
        <v>16</v>
      </c>
      <c r="Q13" s="13">
        <f t="shared" si="0"/>
        <v>27623.65</v>
      </c>
      <c r="R13" s="13">
        <f>F13+L13</f>
        <v>26275.360000000001</v>
      </c>
    </row>
    <row r="14" spans="1:18" ht="31.5" x14ac:dyDescent="0.25">
      <c r="A14" s="14">
        <f t="shared" si="1"/>
        <v>5</v>
      </c>
      <c r="B14" s="18" t="s">
        <v>27</v>
      </c>
      <c r="C14" s="11">
        <f>[3]Свод!$D$10</f>
        <v>12780.999999999998</v>
      </c>
      <c r="D14" s="11">
        <f>[3]Свод!$P$10</f>
        <v>10040.79999999999</v>
      </c>
      <c r="E14" s="11">
        <v>7210</v>
      </c>
      <c r="F14" s="11">
        <v>1130</v>
      </c>
      <c r="G14" s="11" t="s">
        <v>24</v>
      </c>
      <c r="H14" s="11" t="s">
        <v>24</v>
      </c>
      <c r="I14" s="11" t="s">
        <v>16</v>
      </c>
      <c r="J14" s="11" t="s">
        <v>16</v>
      </c>
      <c r="K14" s="12">
        <v>1.2</v>
      </c>
      <c r="L14" s="12">
        <v>0</v>
      </c>
      <c r="M14" s="11" t="s">
        <v>16</v>
      </c>
      <c r="N14" s="11" t="s">
        <v>16</v>
      </c>
      <c r="O14" s="11" t="s">
        <v>16</v>
      </c>
      <c r="P14" s="11" t="s">
        <v>16</v>
      </c>
      <c r="Q14" s="13">
        <f>E14+K14</f>
        <v>7211.2</v>
      </c>
      <c r="R14" s="13">
        <f>F14+L14</f>
        <v>1130</v>
      </c>
    </row>
    <row r="15" spans="1:18" ht="15.75" x14ac:dyDescent="0.25">
      <c r="A15" s="14">
        <f>A14+1</f>
        <v>6</v>
      </c>
      <c r="B15" s="18" t="s">
        <v>28</v>
      </c>
      <c r="C15" s="11">
        <f>[3]Свод!$D$11</f>
        <v>30852.269999999982</v>
      </c>
      <c r="D15" s="11">
        <f>[3]Свод!$P$11</f>
        <v>30846.32999999998</v>
      </c>
      <c r="E15" s="11">
        <v>48647</v>
      </c>
      <c r="F15" s="11">
        <v>46515</v>
      </c>
      <c r="G15" s="11" t="s">
        <v>29</v>
      </c>
      <c r="H15" s="11" t="s">
        <v>29</v>
      </c>
      <c r="I15" s="11" t="s">
        <v>16</v>
      </c>
      <c r="J15" s="11" t="s">
        <v>16</v>
      </c>
      <c r="K15" s="12">
        <v>139.13</v>
      </c>
      <c r="L15" s="12">
        <v>209.4</v>
      </c>
      <c r="M15" s="11" t="s">
        <v>16</v>
      </c>
      <c r="N15" s="11" t="s">
        <v>16</v>
      </c>
      <c r="O15" s="11" t="s">
        <v>16</v>
      </c>
      <c r="P15" s="11" t="s">
        <v>16</v>
      </c>
      <c r="Q15" s="13">
        <f>E15+K15</f>
        <v>48786.13</v>
      </c>
      <c r="R15" s="13">
        <f>F15+L15</f>
        <v>46724.4</v>
      </c>
    </row>
    <row r="16" spans="1:18" ht="17.25" customHeight="1" x14ac:dyDescent="0.25">
      <c r="A16" s="14">
        <f t="shared" ref="A16:A27" si="2">A15+1</f>
        <v>7</v>
      </c>
      <c r="B16" s="19" t="s">
        <v>30</v>
      </c>
      <c r="C16" s="11">
        <f>[3]Свод!$D$13</f>
        <v>2252</v>
      </c>
      <c r="D16" s="11">
        <f>[3]Свод!$P$13</f>
        <v>2252</v>
      </c>
      <c r="E16" s="11" t="s">
        <v>31</v>
      </c>
      <c r="F16" s="11" t="s">
        <v>31</v>
      </c>
      <c r="G16" s="11" t="s">
        <v>32</v>
      </c>
      <c r="H16" s="11" t="s">
        <v>29</v>
      </c>
      <c r="I16" s="11" t="s">
        <v>16</v>
      </c>
      <c r="J16" s="11" t="s">
        <v>16</v>
      </c>
      <c r="K16" s="12" t="s">
        <v>29</v>
      </c>
      <c r="L16" s="12" t="s">
        <v>29</v>
      </c>
      <c r="M16" s="11" t="s">
        <v>16</v>
      </c>
      <c r="N16" s="11" t="s">
        <v>16</v>
      </c>
      <c r="O16" s="11" t="s">
        <v>16</v>
      </c>
      <c r="P16" s="11" t="s">
        <v>16</v>
      </c>
      <c r="Q16" s="13"/>
      <c r="R16" s="13"/>
    </row>
    <row r="17" spans="1:18" ht="15.75" x14ac:dyDescent="0.25">
      <c r="A17" s="14">
        <f t="shared" si="2"/>
        <v>8</v>
      </c>
      <c r="B17" s="18" t="s">
        <v>33</v>
      </c>
      <c r="C17" s="11">
        <f>[3]Свод!$D$14</f>
        <v>60814.039999999986</v>
      </c>
      <c r="D17" s="12">
        <f>[3]Свод!$P$14</f>
        <v>61241.929999999978</v>
      </c>
      <c r="E17" s="11">
        <v>50283</v>
      </c>
      <c r="F17" s="11">
        <v>51560</v>
      </c>
      <c r="G17" s="11" t="s">
        <v>29</v>
      </c>
      <c r="H17" s="11" t="s">
        <v>29</v>
      </c>
      <c r="I17" s="11" t="s">
        <v>16</v>
      </c>
      <c r="J17" s="11" t="s">
        <v>16</v>
      </c>
      <c r="K17" s="12">
        <v>0</v>
      </c>
      <c r="L17" s="12">
        <v>0</v>
      </c>
      <c r="M17" s="11" t="s">
        <v>16</v>
      </c>
      <c r="N17" s="11" t="s">
        <v>16</v>
      </c>
      <c r="O17" s="11" t="s">
        <v>16</v>
      </c>
      <c r="P17" s="11" t="s">
        <v>16</v>
      </c>
      <c r="Q17" s="13">
        <f>E17+K17</f>
        <v>50283</v>
      </c>
      <c r="R17" s="13">
        <f>F17+L17</f>
        <v>51560</v>
      </c>
    </row>
    <row r="18" spans="1:18" ht="15.75" x14ac:dyDescent="0.25">
      <c r="A18" s="14">
        <f t="shared" si="2"/>
        <v>9</v>
      </c>
      <c r="B18" s="18" t="s">
        <v>34</v>
      </c>
      <c r="C18" s="11">
        <f>[3]Свод!$D$15</f>
        <v>18529.73</v>
      </c>
      <c r="D18" s="12">
        <f>[3]Свод!$P$15</f>
        <v>17219.333999999995</v>
      </c>
      <c r="E18" s="11">
        <v>9034</v>
      </c>
      <c r="F18" s="11">
        <v>8820</v>
      </c>
      <c r="G18" s="11" t="str">
        <f>'[4]01.01.2016'!H19</f>
        <v>-</v>
      </c>
      <c r="H18" s="11" t="s">
        <v>24</v>
      </c>
      <c r="I18" s="11" t="s">
        <v>16</v>
      </c>
      <c r="J18" s="11" t="s">
        <v>16</v>
      </c>
      <c r="K18" s="12">
        <v>0</v>
      </c>
      <c r="L18" s="12">
        <v>0</v>
      </c>
      <c r="M18" s="11" t="s">
        <v>16</v>
      </c>
      <c r="N18" s="11" t="s">
        <v>16</v>
      </c>
      <c r="O18" s="11" t="s">
        <v>16</v>
      </c>
      <c r="P18" s="11" t="s">
        <v>16</v>
      </c>
      <c r="Q18" s="13">
        <f t="shared" si="0"/>
        <v>9034</v>
      </c>
      <c r="R18" s="13">
        <f>F18+L18</f>
        <v>8820</v>
      </c>
    </row>
    <row r="19" spans="1:18" ht="15.75" x14ac:dyDescent="0.25">
      <c r="A19" s="14">
        <f t="shared" si="2"/>
        <v>10</v>
      </c>
      <c r="B19" s="18" t="s">
        <v>35</v>
      </c>
      <c r="C19" s="11">
        <f>[3]Свод!$D$16</f>
        <v>8184.8000000000011</v>
      </c>
      <c r="D19" s="11">
        <f>[3]Свод!$P$16</f>
        <v>9515.3999999999978</v>
      </c>
      <c r="E19" s="11">
        <v>5042</v>
      </c>
      <c r="F19" s="11">
        <v>4883</v>
      </c>
      <c r="G19" s="11" t="s">
        <v>29</v>
      </c>
      <c r="H19" s="11" t="s">
        <v>29</v>
      </c>
      <c r="I19" s="11" t="s">
        <v>16</v>
      </c>
      <c r="J19" s="11" t="s">
        <v>16</v>
      </c>
      <c r="K19" s="12">
        <v>0</v>
      </c>
      <c r="L19" s="12">
        <v>0</v>
      </c>
      <c r="M19" s="11" t="s">
        <v>16</v>
      </c>
      <c r="N19" s="11" t="s">
        <v>16</v>
      </c>
      <c r="O19" s="11" t="s">
        <v>16</v>
      </c>
      <c r="P19" s="11" t="s">
        <v>16</v>
      </c>
      <c r="Q19" s="13">
        <f t="shared" si="0"/>
        <v>5042</v>
      </c>
      <c r="R19" s="13">
        <f>F19+L19</f>
        <v>4883</v>
      </c>
    </row>
    <row r="20" spans="1:18" ht="15.75" x14ac:dyDescent="0.25">
      <c r="A20" s="14">
        <f t="shared" si="2"/>
        <v>11</v>
      </c>
      <c r="B20" s="18" t="s">
        <v>36</v>
      </c>
      <c r="C20" s="11">
        <f>[3]Свод!$D$12</f>
        <v>3977.66</v>
      </c>
      <c r="D20" s="11">
        <f>[3]Свод!$P$12</f>
        <v>6023.6200000000044</v>
      </c>
      <c r="E20" s="11">
        <v>1255</v>
      </c>
      <c r="F20" s="11">
        <v>163</v>
      </c>
      <c r="G20" s="11" t="s">
        <v>29</v>
      </c>
      <c r="H20" s="11" t="s">
        <v>29</v>
      </c>
      <c r="I20" s="11" t="s">
        <v>16</v>
      </c>
      <c r="J20" s="11" t="s">
        <v>16</v>
      </c>
      <c r="K20" s="12">
        <v>0</v>
      </c>
      <c r="L20" s="12">
        <v>0</v>
      </c>
      <c r="M20" s="11" t="s">
        <v>16</v>
      </c>
      <c r="N20" s="11" t="s">
        <v>16</v>
      </c>
      <c r="O20" s="11" t="s">
        <v>16</v>
      </c>
      <c r="P20" s="11" t="s">
        <v>16</v>
      </c>
      <c r="Q20" s="13"/>
      <c r="R20" s="13">
        <f>F20</f>
        <v>163</v>
      </c>
    </row>
    <row r="21" spans="1:18" ht="15.75" x14ac:dyDescent="0.25">
      <c r="A21" s="14">
        <f t="shared" si="2"/>
        <v>12</v>
      </c>
      <c r="B21" s="18" t="s">
        <v>37</v>
      </c>
      <c r="C21" s="11">
        <f>[3]Свод!$D$17</f>
        <v>7984.4800000000014</v>
      </c>
      <c r="D21" s="11">
        <f>[3]Свод!$P$17</f>
        <v>5118.8900000000049</v>
      </c>
      <c r="E21" s="11">
        <v>2684</v>
      </c>
      <c r="F21" s="11">
        <v>1582</v>
      </c>
      <c r="G21" s="11" t="s">
        <v>24</v>
      </c>
      <c r="H21" s="11" t="s">
        <v>24</v>
      </c>
      <c r="I21" s="11" t="s">
        <v>16</v>
      </c>
      <c r="J21" s="11" t="s">
        <v>16</v>
      </c>
      <c r="K21" s="12">
        <v>0</v>
      </c>
      <c r="L21" s="12">
        <v>0</v>
      </c>
      <c r="M21" s="11" t="s">
        <v>16</v>
      </c>
      <c r="N21" s="11" t="s">
        <v>16</v>
      </c>
      <c r="O21" s="11" t="s">
        <v>16</v>
      </c>
      <c r="P21" s="11" t="s">
        <v>16</v>
      </c>
      <c r="Q21" s="13"/>
      <c r="R21" s="13">
        <f>F21</f>
        <v>1582</v>
      </c>
    </row>
    <row r="22" spans="1:18" ht="15.75" x14ac:dyDescent="0.25">
      <c r="A22" s="14">
        <f t="shared" si="2"/>
        <v>13</v>
      </c>
      <c r="B22" s="18" t="s">
        <v>38</v>
      </c>
      <c r="C22" s="11" t="str">
        <f>[3]Свод!$C$18</f>
        <v>-</v>
      </c>
      <c r="D22" s="11">
        <f>[3]Свод!$P$18</f>
        <v>804.08999999999992</v>
      </c>
      <c r="E22" s="11" t="s">
        <v>24</v>
      </c>
      <c r="F22" s="11">
        <v>35</v>
      </c>
      <c r="G22" s="11" t="s">
        <v>24</v>
      </c>
      <c r="H22" s="11" t="s">
        <v>24</v>
      </c>
      <c r="I22" s="11" t="s">
        <v>16</v>
      </c>
      <c r="J22" s="11" t="s">
        <v>16</v>
      </c>
      <c r="K22" s="12">
        <v>0</v>
      </c>
      <c r="L22" s="12">
        <v>0</v>
      </c>
      <c r="M22" s="11" t="s">
        <v>16</v>
      </c>
      <c r="N22" s="11" t="s">
        <v>16</v>
      </c>
      <c r="O22" s="11" t="s">
        <v>16</v>
      </c>
      <c r="P22" s="11" t="s">
        <v>16</v>
      </c>
      <c r="Q22" s="13"/>
      <c r="R22" s="13"/>
    </row>
    <row r="23" spans="1:18" ht="15.75" x14ac:dyDescent="0.25">
      <c r="A23" s="14">
        <f t="shared" si="2"/>
        <v>14</v>
      </c>
      <c r="B23" s="18" t="s">
        <v>39</v>
      </c>
      <c r="C23" s="11" t="str">
        <f>[3]Свод!$C$18</f>
        <v>-</v>
      </c>
      <c r="D23" s="11">
        <f>[3]Свод!$P$19</f>
        <v>5355.3780000000006</v>
      </c>
      <c r="E23" s="11" t="s">
        <v>24</v>
      </c>
      <c r="F23" s="11">
        <v>827</v>
      </c>
      <c r="G23" s="11" t="s">
        <v>24</v>
      </c>
      <c r="H23" s="11" t="s">
        <v>24</v>
      </c>
      <c r="I23" s="11" t="s">
        <v>16</v>
      </c>
      <c r="J23" s="11" t="s">
        <v>16</v>
      </c>
      <c r="K23" s="12">
        <v>0</v>
      </c>
      <c r="L23" s="12">
        <v>11.77</v>
      </c>
      <c r="M23" s="11" t="s">
        <v>16</v>
      </c>
      <c r="N23" s="11" t="s">
        <v>16</v>
      </c>
      <c r="O23" s="11" t="s">
        <v>16</v>
      </c>
      <c r="P23" s="11" t="s">
        <v>16</v>
      </c>
      <c r="Q23" s="13"/>
      <c r="R23" s="13"/>
    </row>
    <row r="24" spans="1:18" ht="15.75" x14ac:dyDescent="0.25">
      <c r="A24" s="14">
        <f t="shared" si="2"/>
        <v>15</v>
      </c>
      <c r="B24" s="18" t="s">
        <v>40</v>
      </c>
      <c r="C24" s="11">
        <f>'[5]01.01.2018'!$D$23</f>
        <v>38062.04</v>
      </c>
      <c r="D24" s="11">
        <f>C24</f>
        <v>38062.04</v>
      </c>
      <c r="E24" s="11">
        <v>188372</v>
      </c>
      <c r="F24" s="11">
        <v>188372</v>
      </c>
      <c r="G24" s="11">
        <f>'[5]01.01.2018'!$H$23</f>
        <v>3575.81</v>
      </c>
      <c r="H24" s="11">
        <f>G24</f>
        <v>3575.81</v>
      </c>
      <c r="I24" s="11" t="s">
        <v>16</v>
      </c>
      <c r="J24" s="11" t="s">
        <v>16</v>
      </c>
      <c r="K24" s="12">
        <v>0</v>
      </c>
      <c r="L24" s="12">
        <v>0</v>
      </c>
      <c r="M24" s="11" t="s">
        <v>16</v>
      </c>
      <c r="N24" s="11" t="s">
        <v>16</v>
      </c>
      <c r="O24" s="11" t="s">
        <v>16</v>
      </c>
      <c r="P24" s="11" t="s">
        <v>16</v>
      </c>
      <c r="Q24" s="13">
        <f>E24+G24+K24</f>
        <v>191947.81</v>
      </c>
      <c r="R24" s="13">
        <f>F24+H24+L24</f>
        <v>191947.81</v>
      </c>
    </row>
    <row r="25" spans="1:18" ht="15.75" x14ac:dyDescent="0.25">
      <c r="A25" s="14">
        <f t="shared" si="2"/>
        <v>16</v>
      </c>
      <c r="B25" s="18" t="s">
        <v>41</v>
      </c>
      <c r="C25" s="11">
        <f>'[5]01.01.2018'!$D$25</f>
        <v>4156.6099999999997</v>
      </c>
      <c r="D25" s="12">
        <f>C25</f>
        <v>4156.6099999999997</v>
      </c>
      <c r="E25" s="11" t="str">
        <f>'[4]01.01.2016'!F24</f>
        <v>-</v>
      </c>
      <c r="F25" s="11" t="s">
        <v>24</v>
      </c>
      <c r="G25" s="11" t="str">
        <f>'[4]01.01.2016'!H24</f>
        <v>-</v>
      </c>
      <c r="H25" s="11" t="s">
        <v>24</v>
      </c>
      <c r="I25" s="11" t="s">
        <v>16</v>
      </c>
      <c r="J25" s="11" t="s">
        <v>16</v>
      </c>
      <c r="K25" s="11" t="str">
        <f>'[4]01.01.2016'!L24</f>
        <v>-</v>
      </c>
      <c r="L25" s="11" t="s">
        <v>24</v>
      </c>
      <c r="M25" s="11" t="s">
        <v>24</v>
      </c>
      <c r="N25" s="11" t="s">
        <v>24</v>
      </c>
      <c r="O25" s="11" t="s">
        <v>24</v>
      </c>
      <c r="P25" s="11" t="s">
        <v>24</v>
      </c>
      <c r="Q25" s="13"/>
      <c r="R25" s="8"/>
    </row>
    <row r="26" spans="1:18" ht="15.75" x14ac:dyDescent="0.25">
      <c r="A26" s="14">
        <f t="shared" si="2"/>
        <v>17</v>
      </c>
      <c r="B26" s="18" t="s">
        <v>42</v>
      </c>
      <c r="C26" s="11">
        <f>'[6]01.10.2019'!C26</f>
        <v>20182.28</v>
      </c>
      <c r="D26" s="12">
        <v>20182.28</v>
      </c>
      <c r="E26" s="11">
        <v>46797</v>
      </c>
      <c r="F26" s="11">
        <v>46797</v>
      </c>
      <c r="G26" s="11" t="str">
        <f>'[4]01.01.2016'!H18</f>
        <v>-</v>
      </c>
      <c r="H26" s="11" t="s">
        <v>24</v>
      </c>
      <c r="I26" s="11" t="s">
        <v>16</v>
      </c>
      <c r="J26" s="11" t="s">
        <v>16</v>
      </c>
      <c r="K26" s="12">
        <v>36.72</v>
      </c>
      <c r="L26" s="12">
        <v>36.72</v>
      </c>
      <c r="M26" s="11" t="s">
        <v>16</v>
      </c>
      <c r="N26" s="11" t="s">
        <v>16</v>
      </c>
      <c r="O26" s="11" t="s">
        <v>16</v>
      </c>
      <c r="P26" s="11" t="s">
        <v>16</v>
      </c>
      <c r="Q26" s="13">
        <f>E26+K26</f>
        <v>46833.72</v>
      </c>
      <c r="R26" s="13">
        <f>F26+L26</f>
        <v>46833.72</v>
      </c>
    </row>
    <row r="27" spans="1:18" ht="15.75" x14ac:dyDescent="0.25">
      <c r="A27" s="14">
        <f t="shared" si="2"/>
        <v>18</v>
      </c>
      <c r="B27" s="20" t="s">
        <v>43</v>
      </c>
      <c r="C27" s="21">
        <f>SUM(C11:C26)</f>
        <v>242388.60999999996</v>
      </c>
      <c r="D27" s="38">
        <f>SUM(D11:D26)</f>
        <v>237577.43299999993</v>
      </c>
      <c r="E27" s="21">
        <f>SUM(E11:E26)+E7</f>
        <v>423265.42612999998</v>
      </c>
      <c r="F27" s="38">
        <f>SUM(F11:F26)+F7</f>
        <v>446574.53191000002</v>
      </c>
      <c r="G27" s="21">
        <f>SUM(G7:G26)</f>
        <v>3575.81</v>
      </c>
      <c r="H27" s="38">
        <f>SUM(H7:H26)</f>
        <v>3575.81</v>
      </c>
      <c r="I27" s="21">
        <f>SUM(I7)</f>
        <v>22118.6</v>
      </c>
      <c r="J27" s="38">
        <f>SUM(J7)</f>
        <v>19788.080000000002</v>
      </c>
      <c r="K27" s="21">
        <f>SUM(K11:K26)</f>
        <v>206.85999999999999</v>
      </c>
      <c r="L27" s="38">
        <f>SUM(L11:L26)</f>
        <v>286.61</v>
      </c>
      <c r="M27" s="21">
        <f>SUM(M7:M25)</f>
        <v>2685.86</v>
      </c>
      <c r="N27" s="38">
        <f>SUM(N7:N25)</f>
        <v>2685.86</v>
      </c>
      <c r="O27" s="21">
        <f>SUM(O7:O25)</f>
        <v>13175.222</v>
      </c>
      <c r="P27" s="38">
        <f>SUM(P7:P25)</f>
        <v>15024.05</v>
      </c>
      <c r="Q27" s="13">
        <f>E27+G27+I27+K27+M27</f>
        <v>451852.55612999992</v>
      </c>
      <c r="R27" s="13">
        <f>F27+H27+J27+L27+N27</f>
        <v>472910.89191000001</v>
      </c>
    </row>
    <row r="28" spans="1:18" ht="15.75" x14ac:dyDescent="0.25">
      <c r="A28" s="22"/>
      <c r="B28" s="23"/>
      <c r="C28" s="24"/>
      <c r="D28" s="24"/>
      <c r="E28" s="24"/>
      <c r="F28" s="2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>
        <f>SUM(Q7:Q24)</f>
        <v>401079.83612999995</v>
      </c>
      <c r="R28" s="25">
        <f>SUM(R7:R24)</f>
        <v>425203.40191000002</v>
      </c>
    </row>
    <row r="29" spans="1:18" ht="15.75" x14ac:dyDescent="0.25">
      <c r="A29" s="22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>
        <f>80.1+352.52+0.59+7.9+36.72+159.64+78.09</f>
        <v>715.56</v>
      </c>
    </row>
    <row r="30" spans="1:18" ht="15.75" x14ac:dyDescent="0.25">
      <c r="A30" s="22"/>
      <c r="B30" s="23" t="s">
        <v>44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8" ht="15.75" x14ac:dyDescent="0.25">
      <c r="A31" s="22"/>
      <c r="B31" s="2" t="s">
        <v>45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s="2" customFormat="1" ht="15.75" x14ac:dyDescent="0.25">
      <c r="A32" s="22"/>
      <c r="B32" s="2" t="s">
        <v>46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s="2" customFormat="1" ht="15.75" x14ac:dyDescent="0.25">
      <c r="A33" s="22"/>
      <c r="B33" s="26" t="s">
        <v>47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s="2" customFormat="1" ht="15.75" x14ac:dyDescent="0.25">
      <c r="A34" s="22"/>
      <c r="B34" s="2" t="s">
        <v>48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s="2" customFormat="1" ht="15.75" x14ac:dyDescent="0.25">
      <c r="A35" s="22"/>
      <c r="B3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s="2" customFormat="1" ht="75" x14ac:dyDescent="0.25">
      <c r="A36" s="22"/>
      <c r="B36" s="27" t="s">
        <v>49</v>
      </c>
      <c r="C36" s="24"/>
      <c r="D36" s="28"/>
      <c r="E36" s="119"/>
      <c r="F36" s="119"/>
      <c r="G36" s="119"/>
      <c r="H36" s="119"/>
      <c r="I36" s="119"/>
      <c r="J36" s="119"/>
      <c r="K36" s="119"/>
      <c r="L36" s="119"/>
      <c r="M36" s="119"/>
      <c r="N36" s="24"/>
      <c r="O36" s="24"/>
      <c r="P36" s="24"/>
    </row>
    <row r="37" spans="1:16" s="2" customFormat="1" ht="15.75" x14ac:dyDescent="0.25">
      <c r="A37" s="22"/>
      <c r="B37" s="27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s="2" customFormat="1" ht="15.75" x14ac:dyDescent="0.25">
      <c r="A38" s="22"/>
      <c r="B38" s="29" t="s">
        <v>50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s="30" customFormat="1" x14ac:dyDescent="0.25">
      <c r="B39" s="31" t="s">
        <v>51</v>
      </c>
      <c r="C39" s="32"/>
      <c r="D39" s="32"/>
      <c r="E39" s="32"/>
      <c r="F39" s="32"/>
      <c r="G39" s="33"/>
      <c r="L39" s="34"/>
    </row>
    <row r="40" spans="1:16" x14ac:dyDescent="0.25">
      <c r="B40" s="35" t="s">
        <v>52</v>
      </c>
      <c r="D40" s="25"/>
      <c r="F40" s="25"/>
    </row>
    <row r="41" spans="1:16" x14ac:dyDescent="0.25">
      <c r="B41" s="36" t="s">
        <v>53</v>
      </c>
      <c r="F41" s="25"/>
    </row>
    <row r="42" spans="1:16" x14ac:dyDescent="0.25">
      <c r="B42" s="37" t="s">
        <v>54</v>
      </c>
    </row>
    <row r="44" spans="1:16" x14ac:dyDescent="0.25">
      <c r="F44" s="25"/>
    </row>
  </sheetData>
  <mergeCells count="17">
    <mergeCell ref="E36:M36"/>
    <mergeCell ref="O3:P3"/>
    <mergeCell ref="Q3:R3"/>
    <mergeCell ref="I4:J4"/>
    <mergeCell ref="K4:L4"/>
    <mergeCell ref="M4:N4"/>
    <mergeCell ref="O4:P4"/>
    <mergeCell ref="Q4:Q5"/>
    <mergeCell ref="R4:R5"/>
    <mergeCell ref="A1:N1"/>
    <mergeCell ref="A3:A5"/>
    <mergeCell ref="B3:B5"/>
    <mergeCell ref="C3:D4"/>
    <mergeCell ref="E3:F4"/>
    <mergeCell ref="G3:H4"/>
    <mergeCell ref="I3:L3"/>
    <mergeCell ref="M3:N3"/>
  </mergeCells>
  <hyperlinks>
    <hyperlink ref="B36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5"/>
  <sheetViews>
    <sheetView tabSelected="1" view="pageBreakPreview" zoomScaleNormal="100" zoomScaleSheetLayoutView="100" workbookViewId="0">
      <selection activeCell="D21" sqref="D21"/>
    </sheetView>
  </sheetViews>
  <sheetFormatPr defaultRowHeight="15" x14ac:dyDescent="0.25"/>
  <cols>
    <col min="1" max="1" width="7.42578125" style="2" customWidth="1"/>
    <col min="2" max="2" width="32.5703125" style="2" customWidth="1"/>
    <col min="3" max="3" width="12.7109375" style="2" customWidth="1"/>
    <col min="4" max="4" width="14" style="2" customWidth="1"/>
    <col min="5" max="5" width="14.5703125" style="2" customWidth="1"/>
    <col min="6" max="6" width="12.42578125" style="2" customWidth="1"/>
    <col min="7" max="7" width="14.42578125" style="2" customWidth="1"/>
    <col min="8" max="9" width="12.7109375" style="2" customWidth="1"/>
    <col min="10" max="11" width="11.7109375" style="2" customWidth="1"/>
    <col min="12" max="12" width="13.42578125" style="2" customWidth="1"/>
    <col min="13" max="13" width="11.7109375" style="2" customWidth="1"/>
    <col min="14" max="16" width="13.5703125" style="2" customWidth="1"/>
    <col min="17" max="17" width="14.85546875" style="2" customWidth="1"/>
    <col min="18" max="18" width="15" style="2" customWidth="1"/>
    <col min="19" max="16384" width="9.140625" style="2"/>
  </cols>
  <sheetData>
    <row r="1" spans="1:18" ht="30.75" customHeight="1" x14ac:dyDescent="0.25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02"/>
      <c r="P1" s="102"/>
    </row>
    <row r="2" spans="1:18" x14ac:dyDescent="0.25">
      <c r="O2" s="3"/>
      <c r="P2" s="3" t="s">
        <v>1</v>
      </c>
    </row>
    <row r="3" spans="1:18" ht="51" customHeight="1" x14ac:dyDescent="0.25">
      <c r="A3" s="111" t="s">
        <v>2</v>
      </c>
      <c r="B3" s="111" t="s">
        <v>3</v>
      </c>
      <c r="C3" s="139" t="s">
        <v>4</v>
      </c>
      <c r="D3" s="140"/>
      <c r="E3" s="139" t="s">
        <v>5</v>
      </c>
      <c r="F3" s="140"/>
      <c r="G3" s="112" t="s">
        <v>6</v>
      </c>
      <c r="H3" s="113"/>
      <c r="I3" s="143" t="s">
        <v>7</v>
      </c>
      <c r="J3" s="144"/>
      <c r="K3" s="144"/>
      <c r="L3" s="145"/>
      <c r="M3" s="138" t="s">
        <v>8</v>
      </c>
      <c r="N3" s="138"/>
      <c r="O3" s="138" t="s">
        <v>9</v>
      </c>
      <c r="P3" s="138"/>
      <c r="Q3" s="128"/>
      <c r="R3" s="128"/>
    </row>
    <row r="4" spans="1:18" ht="72" customHeight="1" x14ac:dyDescent="0.25">
      <c r="A4" s="111"/>
      <c r="B4" s="111"/>
      <c r="C4" s="141"/>
      <c r="D4" s="142"/>
      <c r="E4" s="141"/>
      <c r="F4" s="142"/>
      <c r="G4" s="114"/>
      <c r="H4" s="115"/>
      <c r="I4" s="116" t="s">
        <v>11</v>
      </c>
      <c r="J4" s="118"/>
      <c r="K4" s="116" t="s">
        <v>12</v>
      </c>
      <c r="L4" s="118"/>
      <c r="M4" s="138" t="s">
        <v>11</v>
      </c>
      <c r="N4" s="138"/>
      <c r="O4" s="138" t="s">
        <v>11</v>
      </c>
      <c r="P4" s="138"/>
      <c r="Q4" s="129"/>
      <c r="R4" s="130"/>
    </row>
    <row r="5" spans="1:18" ht="15" customHeight="1" x14ac:dyDescent="0.25">
      <c r="A5" s="111"/>
      <c r="B5" s="111"/>
      <c r="C5" s="106" t="s">
        <v>55</v>
      </c>
      <c r="D5" s="95">
        <v>44105</v>
      </c>
      <c r="E5" s="106" t="str">
        <f>C5</f>
        <v xml:space="preserve"> 01.01.2020</v>
      </c>
      <c r="F5" s="95">
        <f>D5</f>
        <v>44105</v>
      </c>
      <c r="G5" s="103" t="str">
        <f>C5</f>
        <v xml:space="preserve"> 01.01.2020</v>
      </c>
      <c r="H5" s="6">
        <f>D5</f>
        <v>44105</v>
      </c>
      <c r="I5" s="6" t="str">
        <f>C5</f>
        <v xml:space="preserve"> 01.01.2020</v>
      </c>
      <c r="J5" s="6">
        <f>D5</f>
        <v>44105</v>
      </c>
      <c r="K5" s="6" t="str">
        <f>C5</f>
        <v xml:space="preserve"> 01.01.2020</v>
      </c>
      <c r="L5" s="6">
        <f>D5</f>
        <v>44105</v>
      </c>
      <c r="M5" s="106" t="str">
        <f>C5</f>
        <v xml:space="preserve"> 01.01.2020</v>
      </c>
      <c r="N5" s="95">
        <f>D5</f>
        <v>44105</v>
      </c>
      <c r="O5" s="106" t="str">
        <f>E5</f>
        <v xml:space="preserve"> 01.01.2020</v>
      </c>
      <c r="P5" s="95">
        <f>F5</f>
        <v>44105</v>
      </c>
      <c r="Q5" s="129"/>
      <c r="R5" s="129"/>
    </row>
    <row r="6" spans="1:18" ht="15.75" customHeight="1" x14ac:dyDescent="0.25">
      <c r="A6" s="103">
        <v>1</v>
      </c>
      <c r="B6" s="103">
        <v>2</v>
      </c>
      <c r="C6" s="106">
        <v>3</v>
      </c>
      <c r="D6" s="106">
        <v>4</v>
      </c>
      <c r="E6" s="106">
        <v>5</v>
      </c>
      <c r="F6" s="107">
        <v>6</v>
      </c>
      <c r="G6" s="107">
        <v>7</v>
      </c>
      <c r="H6" s="107">
        <v>8</v>
      </c>
      <c r="I6" s="108">
        <v>9</v>
      </c>
      <c r="J6" s="108">
        <v>10</v>
      </c>
      <c r="K6" s="108">
        <v>11</v>
      </c>
      <c r="L6" s="107">
        <v>12</v>
      </c>
      <c r="M6" s="107">
        <v>13</v>
      </c>
      <c r="N6" s="107">
        <v>14</v>
      </c>
      <c r="O6" s="107">
        <v>15</v>
      </c>
      <c r="P6" s="107">
        <v>16</v>
      </c>
      <c r="Q6" s="105"/>
      <c r="R6" s="105"/>
    </row>
    <row r="7" spans="1:18" ht="15.75" x14ac:dyDescent="0.25">
      <c r="A7" s="9">
        <v>1</v>
      </c>
      <c r="B7" s="10" t="s">
        <v>15</v>
      </c>
      <c r="C7" s="96" t="s">
        <v>16</v>
      </c>
      <c r="D7" s="96" t="s">
        <v>16</v>
      </c>
      <c r="E7" s="96">
        <f>E8+E10+E9</f>
        <v>53600.531910000005</v>
      </c>
      <c r="F7" s="96">
        <f>F8+F10+F9</f>
        <v>54888.180359999998</v>
      </c>
      <c r="G7" s="96" t="s">
        <v>16</v>
      </c>
      <c r="H7" s="96" t="s">
        <v>16</v>
      </c>
      <c r="I7" s="97">
        <v>19788.080000000002</v>
      </c>
      <c r="J7" s="101">
        <v>21328</v>
      </c>
      <c r="K7" s="99" t="s">
        <v>16</v>
      </c>
      <c r="L7" s="99"/>
      <c r="M7" s="97">
        <f>'[1]01.05.2018'!N7</f>
        <v>2685.86</v>
      </c>
      <c r="N7" s="100">
        <f>M7</f>
        <v>2685.86</v>
      </c>
      <c r="O7" s="97">
        <v>15024.05</v>
      </c>
      <c r="P7" s="98">
        <v>18066.39</v>
      </c>
      <c r="Q7" s="67"/>
      <c r="R7" s="67"/>
    </row>
    <row r="8" spans="1:18" ht="17.25" customHeight="1" x14ac:dyDescent="0.25">
      <c r="A8" s="14" t="s">
        <v>17</v>
      </c>
      <c r="B8" s="15" t="s">
        <v>18</v>
      </c>
      <c r="C8" s="96" t="s">
        <v>16</v>
      </c>
      <c r="D8" s="96" t="s">
        <v>16</v>
      </c>
      <c r="E8" s="97">
        <f>3804630.15/1000</f>
        <v>3804.63015</v>
      </c>
      <c r="F8" s="98">
        <f>4389461.26/1000</f>
        <v>4389.46126</v>
      </c>
      <c r="G8" s="96" t="s">
        <v>16</v>
      </c>
      <c r="H8" s="96" t="s">
        <v>16</v>
      </c>
      <c r="I8" s="99" t="s">
        <v>16</v>
      </c>
      <c r="J8" s="99" t="s">
        <v>16</v>
      </c>
      <c r="K8" s="99" t="s">
        <v>16</v>
      </c>
      <c r="L8" s="99"/>
      <c r="M8" s="96" t="s">
        <v>16</v>
      </c>
      <c r="N8" s="96" t="s">
        <v>16</v>
      </c>
      <c r="O8" s="96" t="s">
        <v>16</v>
      </c>
      <c r="P8" s="96" t="s">
        <v>16</v>
      </c>
      <c r="Q8" s="67"/>
      <c r="R8" s="41"/>
    </row>
    <row r="9" spans="1:18" ht="44.25" customHeight="1" x14ac:dyDescent="0.25">
      <c r="A9" s="14" t="s">
        <v>19</v>
      </c>
      <c r="B9" s="16" t="s">
        <v>20</v>
      </c>
      <c r="C9" s="96" t="s">
        <v>16</v>
      </c>
      <c r="D9" s="96" t="s">
        <v>16</v>
      </c>
      <c r="E9" s="97">
        <f>[2]TDSheet!$K$154/1000</f>
        <v>49757.100100000003</v>
      </c>
      <c r="F9" s="96">
        <f>50400511.79/1000</f>
        <v>50400.511789999997</v>
      </c>
      <c r="G9" s="96" t="s">
        <v>16</v>
      </c>
      <c r="H9" s="96" t="s">
        <v>16</v>
      </c>
      <c r="I9" s="99" t="s">
        <v>16</v>
      </c>
      <c r="J9" s="99" t="s">
        <v>16</v>
      </c>
      <c r="K9" s="99" t="s">
        <v>16</v>
      </c>
      <c r="L9" s="99"/>
      <c r="M9" s="96" t="s">
        <v>16</v>
      </c>
      <c r="N9" s="96" t="s">
        <v>16</v>
      </c>
      <c r="O9" s="96" t="s">
        <v>16</v>
      </c>
      <c r="P9" s="96" t="s">
        <v>16</v>
      </c>
      <c r="Q9" s="67"/>
      <c r="R9" s="41"/>
    </row>
    <row r="10" spans="1:18" ht="15.75" x14ac:dyDescent="0.25">
      <c r="A10" s="14" t="s">
        <v>21</v>
      </c>
      <c r="B10" s="17" t="s">
        <v>22</v>
      </c>
      <c r="C10" s="96" t="s">
        <v>16</v>
      </c>
      <c r="D10" s="96" t="s">
        <v>16</v>
      </c>
      <c r="E10" s="97">
        <f>38801.66/1000</f>
        <v>38.801660000000005</v>
      </c>
      <c r="F10" s="98">
        <f>98207.31/1000</f>
        <v>98.207309999999993</v>
      </c>
      <c r="G10" s="96" t="s">
        <v>16</v>
      </c>
      <c r="H10" s="96" t="s">
        <v>16</v>
      </c>
      <c r="I10" s="99" t="s">
        <v>16</v>
      </c>
      <c r="J10" s="99" t="s">
        <v>16</v>
      </c>
      <c r="K10" s="99" t="s">
        <v>16</v>
      </c>
      <c r="L10" s="99"/>
      <c r="M10" s="96" t="s">
        <v>16</v>
      </c>
      <c r="N10" s="96" t="s">
        <v>16</v>
      </c>
      <c r="O10" s="96" t="s">
        <v>16</v>
      </c>
      <c r="P10" s="96" t="s">
        <v>16</v>
      </c>
      <c r="Q10" s="67"/>
      <c r="R10" s="41"/>
    </row>
    <row r="11" spans="1:18" ht="15.75" x14ac:dyDescent="0.25">
      <c r="A11" s="14">
        <v>2</v>
      </c>
      <c r="B11" s="18" t="s">
        <v>23</v>
      </c>
      <c r="C11" s="96">
        <v>5650.03</v>
      </c>
      <c r="D11" s="96">
        <f>[15]Свод!$N$7</f>
        <v>5464.92</v>
      </c>
      <c r="E11" s="96">
        <v>15925</v>
      </c>
      <c r="F11" s="98">
        <v>15889</v>
      </c>
      <c r="G11" s="96" t="s">
        <v>24</v>
      </c>
      <c r="H11" s="96" t="s">
        <v>24</v>
      </c>
      <c r="I11" s="99" t="s">
        <v>16</v>
      </c>
      <c r="J11" s="99" t="s">
        <v>16</v>
      </c>
      <c r="K11" s="97">
        <v>6.36</v>
      </c>
      <c r="L11" s="99">
        <v>0</v>
      </c>
      <c r="M11" s="96" t="s">
        <v>16</v>
      </c>
      <c r="N11" s="96" t="s">
        <v>16</v>
      </c>
      <c r="O11" s="96" t="s">
        <v>16</v>
      </c>
      <c r="P11" s="96" t="s">
        <v>16</v>
      </c>
      <c r="Q11" s="67"/>
      <c r="R11" s="67"/>
    </row>
    <row r="12" spans="1:18" ht="15.75" x14ac:dyDescent="0.25">
      <c r="A12" s="14">
        <f>A11+1</f>
        <v>3</v>
      </c>
      <c r="B12" s="18" t="s">
        <v>25</v>
      </c>
      <c r="C12" s="96">
        <f>'[6]01.01.2020'!$D$12</f>
        <v>673.89999999999964</v>
      </c>
      <c r="D12" s="96">
        <f>[15]Свод!$N$8</f>
        <v>472.60000000000036</v>
      </c>
      <c r="E12" s="96">
        <v>112</v>
      </c>
      <c r="F12" s="98">
        <v>136</v>
      </c>
      <c r="G12" s="96" t="s">
        <v>24</v>
      </c>
      <c r="H12" s="96" t="s">
        <v>24</v>
      </c>
      <c r="I12" s="99" t="s">
        <v>16</v>
      </c>
      <c r="J12" s="99" t="s">
        <v>16</v>
      </c>
      <c r="K12" s="97">
        <v>0</v>
      </c>
      <c r="L12" s="99">
        <v>0</v>
      </c>
      <c r="M12" s="96" t="s">
        <v>16</v>
      </c>
      <c r="N12" s="96" t="s">
        <v>16</v>
      </c>
      <c r="O12" s="96" t="s">
        <v>16</v>
      </c>
      <c r="P12" s="96" t="s">
        <v>16</v>
      </c>
      <c r="Q12" s="67"/>
      <c r="R12" s="67"/>
    </row>
    <row r="13" spans="1:18" ht="18" customHeight="1" x14ac:dyDescent="0.25">
      <c r="A13" s="14">
        <f t="shared" ref="A13:A14" si="0">A12+1</f>
        <v>4</v>
      </c>
      <c r="B13" s="18" t="s">
        <v>26</v>
      </c>
      <c r="C13" s="96">
        <f>'[6]01.01.2020'!$D$13</f>
        <v>20434.799999999988</v>
      </c>
      <c r="D13" s="96">
        <f>[15]Свод!$N$9</f>
        <v>16937.2</v>
      </c>
      <c r="E13" s="96">
        <v>26253</v>
      </c>
      <c r="F13" s="98">
        <v>19709</v>
      </c>
      <c r="G13" s="96" t="s">
        <v>24</v>
      </c>
      <c r="H13" s="96" t="s">
        <v>24</v>
      </c>
      <c r="I13" s="99" t="s">
        <v>16</v>
      </c>
      <c r="J13" s="99" t="s">
        <v>16</v>
      </c>
      <c r="K13" s="97">
        <v>22.36</v>
      </c>
      <c r="L13" s="99">
        <v>24.21</v>
      </c>
      <c r="M13" s="96" t="s">
        <v>16</v>
      </c>
      <c r="N13" s="96" t="s">
        <v>16</v>
      </c>
      <c r="O13" s="96" t="s">
        <v>16</v>
      </c>
      <c r="P13" s="96" t="s">
        <v>16</v>
      </c>
      <c r="Q13" s="67"/>
      <c r="R13" s="67"/>
    </row>
    <row r="14" spans="1:18" ht="31.5" x14ac:dyDescent="0.25">
      <c r="A14" s="14">
        <f t="shared" si="0"/>
        <v>5</v>
      </c>
      <c r="B14" s="18" t="s">
        <v>27</v>
      </c>
      <c r="C14" s="96">
        <f>'[6]01.01.2020'!$D$14</f>
        <v>10040.79999999999</v>
      </c>
      <c r="D14" s="96">
        <f>[15]Свод!$N$10</f>
        <v>11150.300000000003</v>
      </c>
      <c r="E14" s="96">
        <v>1130</v>
      </c>
      <c r="F14" s="98">
        <v>135</v>
      </c>
      <c r="G14" s="96" t="s">
        <v>24</v>
      </c>
      <c r="H14" s="96" t="s">
        <v>24</v>
      </c>
      <c r="I14" s="99" t="s">
        <v>16</v>
      </c>
      <c r="J14" s="99" t="s">
        <v>16</v>
      </c>
      <c r="K14" s="97">
        <v>0</v>
      </c>
      <c r="L14" s="99">
        <v>0</v>
      </c>
      <c r="M14" s="96" t="s">
        <v>16</v>
      </c>
      <c r="N14" s="96" t="s">
        <v>16</v>
      </c>
      <c r="O14" s="96" t="s">
        <v>16</v>
      </c>
      <c r="P14" s="96" t="s">
        <v>16</v>
      </c>
      <c r="Q14" s="67"/>
      <c r="R14" s="67"/>
    </row>
    <row r="15" spans="1:18" ht="15.75" x14ac:dyDescent="0.25">
      <c r="A15" s="14">
        <f>A14+1</f>
        <v>6</v>
      </c>
      <c r="B15" s="18" t="s">
        <v>28</v>
      </c>
      <c r="C15" s="96">
        <f>'[6]01.01.2020'!$D$15</f>
        <v>30846.32999999998</v>
      </c>
      <c r="D15" s="96">
        <f>[15]Свод!$N$11</f>
        <v>30846.329999999998</v>
      </c>
      <c r="E15" s="96">
        <v>46515</v>
      </c>
      <c r="F15" s="98">
        <v>46517</v>
      </c>
      <c r="G15" s="96" t="s">
        <v>29</v>
      </c>
      <c r="H15" s="96" t="s">
        <v>29</v>
      </c>
      <c r="I15" s="99" t="s">
        <v>16</v>
      </c>
      <c r="J15" s="99" t="s">
        <v>16</v>
      </c>
      <c r="K15" s="97">
        <v>209.4</v>
      </c>
      <c r="L15" s="99">
        <v>209.4</v>
      </c>
      <c r="M15" s="96" t="s">
        <v>16</v>
      </c>
      <c r="N15" s="96" t="s">
        <v>16</v>
      </c>
      <c r="O15" s="96" t="s">
        <v>16</v>
      </c>
      <c r="P15" s="96" t="s">
        <v>16</v>
      </c>
      <c r="Q15" s="67"/>
      <c r="R15" s="67"/>
    </row>
    <row r="16" spans="1:18" ht="17.25" customHeight="1" x14ac:dyDescent="0.25">
      <c r="A16" s="14">
        <f t="shared" ref="A16:A27" si="1">A15+1</f>
        <v>7</v>
      </c>
      <c r="B16" s="19" t="s">
        <v>30</v>
      </c>
      <c r="C16" s="96">
        <f>'[6]01.01.2020'!$D$16</f>
        <v>2252</v>
      </c>
      <c r="D16" s="96">
        <f>[15]Свод!$N$13</f>
        <v>2252</v>
      </c>
      <c r="E16" s="96" t="s">
        <v>31</v>
      </c>
      <c r="F16" s="99" t="s">
        <v>31</v>
      </c>
      <c r="G16" s="96" t="s">
        <v>32</v>
      </c>
      <c r="H16" s="96" t="s">
        <v>29</v>
      </c>
      <c r="I16" s="99" t="s">
        <v>16</v>
      </c>
      <c r="J16" s="99" t="s">
        <v>16</v>
      </c>
      <c r="K16" s="97" t="s">
        <v>29</v>
      </c>
      <c r="L16" s="99"/>
      <c r="M16" s="96" t="s">
        <v>16</v>
      </c>
      <c r="N16" s="96" t="s">
        <v>16</v>
      </c>
      <c r="O16" s="96" t="s">
        <v>16</v>
      </c>
      <c r="P16" s="96" t="s">
        <v>16</v>
      </c>
      <c r="Q16" s="67"/>
      <c r="R16" s="67"/>
    </row>
    <row r="17" spans="1:18" ht="15.75" x14ac:dyDescent="0.25">
      <c r="A17" s="14">
        <f t="shared" si="1"/>
        <v>8</v>
      </c>
      <c r="B17" s="18" t="s">
        <v>33</v>
      </c>
      <c r="C17" s="96">
        <f>'[6]01.01.2020'!$D$17</f>
        <v>61241.929999999978</v>
      </c>
      <c r="D17" s="97">
        <f>[15]Свод!$N$14</f>
        <v>60973.280000000013</v>
      </c>
      <c r="E17" s="96">
        <v>51560</v>
      </c>
      <c r="F17" s="98">
        <v>55076</v>
      </c>
      <c r="G17" s="96" t="s">
        <v>29</v>
      </c>
      <c r="H17" s="96" t="s">
        <v>29</v>
      </c>
      <c r="I17" s="99" t="s">
        <v>16</v>
      </c>
      <c r="J17" s="99" t="s">
        <v>16</v>
      </c>
      <c r="K17" s="97">
        <v>0</v>
      </c>
      <c r="L17" s="99">
        <v>3.09</v>
      </c>
      <c r="M17" s="96" t="s">
        <v>16</v>
      </c>
      <c r="N17" s="96" t="s">
        <v>16</v>
      </c>
      <c r="O17" s="96" t="s">
        <v>16</v>
      </c>
      <c r="P17" s="96" t="s">
        <v>16</v>
      </c>
      <c r="Q17" s="67"/>
      <c r="R17" s="67"/>
    </row>
    <row r="18" spans="1:18" ht="15.75" x14ac:dyDescent="0.25">
      <c r="A18" s="14">
        <f t="shared" si="1"/>
        <v>9</v>
      </c>
      <c r="B18" s="18" t="s">
        <v>34</v>
      </c>
      <c r="C18" s="96">
        <v>17219.330000000002</v>
      </c>
      <c r="D18" s="97">
        <f>[15]Свод!$N$15</f>
        <v>17029.099999999999</v>
      </c>
      <c r="E18" s="96">
        <v>8820</v>
      </c>
      <c r="F18" s="98">
        <v>8559</v>
      </c>
      <c r="G18" s="96" t="str">
        <f>'[4]01.01.2016'!H19</f>
        <v>-</v>
      </c>
      <c r="H18" s="96" t="s">
        <v>24</v>
      </c>
      <c r="I18" s="99" t="s">
        <v>16</v>
      </c>
      <c r="J18" s="99" t="s">
        <v>16</v>
      </c>
      <c r="K18" s="97">
        <v>0</v>
      </c>
      <c r="L18" s="99">
        <v>0</v>
      </c>
      <c r="M18" s="96" t="s">
        <v>16</v>
      </c>
      <c r="N18" s="96" t="s">
        <v>16</v>
      </c>
      <c r="O18" s="96" t="s">
        <v>16</v>
      </c>
      <c r="P18" s="96" t="s">
        <v>16</v>
      </c>
      <c r="Q18" s="67"/>
      <c r="R18" s="67"/>
    </row>
    <row r="19" spans="1:18" ht="15.75" x14ac:dyDescent="0.25">
      <c r="A19" s="14">
        <f t="shared" si="1"/>
        <v>10</v>
      </c>
      <c r="B19" s="18" t="s">
        <v>35</v>
      </c>
      <c r="C19" s="96">
        <f>'[6]01.01.2020'!$D$19</f>
        <v>9515.3999999999978</v>
      </c>
      <c r="D19" s="96">
        <f>[15]Свод!$N$16</f>
        <v>9696.4000000000015</v>
      </c>
      <c r="E19" s="96">
        <v>4883</v>
      </c>
      <c r="F19" s="98">
        <v>4556</v>
      </c>
      <c r="G19" s="96" t="s">
        <v>29</v>
      </c>
      <c r="H19" s="96" t="s">
        <v>29</v>
      </c>
      <c r="I19" s="99" t="s">
        <v>16</v>
      </c>
      <c r="J19" s="99" t="s">
        <v>16</v>
      </c>
      <c r="K19" s="97">
        <v>0</v>
      </c>
      <c r="L19" s="99">
        <v>0</v>
      </c>
      <c r="M19" s="96" t="s">
        <v>16</v>
      </c>
      <c r="N19" s="96" t="s">
        <v>16</v>
      </c>
      <c r="O19" s="96" t="s">
        <v>16</v>
      </c>
      <c r="P19" s="96" t="s">
        <v>16</v>
      </c>
      <c r="Q19" s="67"/>
      <c r="R19" s="67"/>
    </row>
    <row r="20" spans="1:18" ht="15.75" x14ac:dyDescent="0.25">
      <c r="A20" s="14">
        <f t="shared" si="1"/>
        <v>11</v>
      </c>
      <c r="B20" s="18" t="s">
        <v>36</v>
      </c>
      <c r="C20" s="96">
        <f>'[6]01.01.2020'!$D$20</f>
        <v>6023.6200000000044</v>
      </c>
      <c r="D20" s="96">
        <f>[15]Свод!$N$12</f>
        <v>7375.2200000000021</v>
      </c>
      <c r="E20" s="96">
        <v>163</v>
      </c>
      <c r="F20" s="98">
        <v>126</v>
      </c>
      <c r="G20" s="96" t="s">
        <v>29</v>
      </c>
      <c r="H20" s="96" t="s">
        <v>29</v>
      </c>
      <c r="I20" s="99" t="s">
        <v>16</v>
      </c>
      <c r="J20" s="99" t="s">
        <v>16</v>
      </c>
      <c r="K20" s="97">
        <v>0</v>
      </c>
      <c r="L20" s="99">
        <v>5.46</v>
      </c>
      <c r="M20" s="96" t="s">
        <v>16</v>
      </c>
      <c r="N20" s="96" t="s">
        <v>16</v>
      </c>
      <c r="O20" s="96" t="s">
        <v>16</v>
      </c>
      <c r="P20" s="96" t="s">
        <v>16</v>
      </c>
      <c r="Q20" s="67"/>
      <c r="R20" s="67"/>
    </row>
    <row r="21" spans="1:18" ht="15.75" x14ac:dyDescent="0.25">
      <c r="A21" s="14">
        <f t="shared" si="1"/>
        <v>12</v>
      </c>
      <c r="B21" s="18" t="s">
        <v>37</v>
      </c>
      <c r="C21" s="96">
        <f>'[6]01.01.2020'!$D$21</f>
        <v>5118.8900000000049</v>
      </c>
      <c r="D21" s="96">
        <f>[15]Свод!$N$17</f>
        <v>6506.7799999999952</v>
      </c>
      <c r="E21" s="96">
        <v>1582</v>
      </c>
      <c r="F21" s="98">
        <v>703</v>
      </c>
      <c r="G21" s="96" t="s">
        <v>24</v>
      </c>
      <c r="H21" s="96" t="s">
        <v>24</v>
      </c>
      <c r="I21" s="99" t="s">
        <v>16</v>
      </c>
      <c r="J21" s="99" t="s">
        <v>16</v>
      </c>
      <c r="K21" s="97">
        <v>0</v>
      </c>
      <c r="L21" s="99">
        <v>0</v>
      </c>
      <c r="M21" s="96" t="s">
        <v>16</v>
      </c>
      <c r="N21" s="96" t="s">
        <v>16</v>
      </c>
      <c r="O21" s="96" t="s">
        <v>16</v>
      </c>
      <c r="P21" s="96" t="s">
        <v>16</v>
      </c>
      <c r="Q21" s="67"/>
      <c r="R21" s="67"/>
    </row>
    <row r="22" spans="1:18" ht="15.75" x14ac:dyDescent="0.25">
      <c r="A22" s="14">
        <f t="shared" si="1"/>
        <v>13</v>
      </c>
      <c r="B22" s="18" t="s">
        <v>38</v>
      </c>
      <c r="C22" s="96">
        <f>'[6]01.01.2020'!$D$22</f>
        <v>804.08999999999992</v>
      </c>
      <c r="D22" s="96">
        <f>[15]Свод!$N$18</f>
        <v>1938.8000000000006</v>
      </c>
      <c r="E22" s="96">
        <v>35</v>
      </c>
      <c r="F22" s="98">
        <v>11</v>
      </c>
      <c r="G22" s="96" t="s">
        <v>24</v>
      </c>
      <c r="H22" s="96" t="s">
        <v>24</v>
      </c>
      <c r="I22" s="99" t="s">
        <v>16</v>
      </c>
      <c r="J22" s="99" t="s">
        <v>16</v>
      </c>
      <c r="K22" s="97">
        <v>0</v>
      </c>
      <c r="L22" s="99">
        <v>0</v>
      </c>
      <c r="M22" s="96" t="s">
        <v>16</v>
      </c>
      <c r="N22" s="96" t="s">
        <v>16</v>
      </c>
      <c r="O22" s="96" t="s">
        <v>16</v>
      </c>
      <c r="P22" s="96" t="s">
        <v>16</v>
      </c>
      <c r="Q22" s="67"/>
      <c r="R22" s="67"/>
    </row>
    <row r="23" spans="1:18" ht="15.75" x14ac:dyDescent="0.25">
      <c r="A23" s="14">
        <f t="shared" si="1"/>
        <v>14</v>
      </c>
      <c r="B23" s="18" t="s">
        <v>39</v>
      </c>
      <c r="C23" s="96">
        <f>'[6]01.01.2020'!$D$23</f>
        <v>5355.3780000000006</v>
      </c>
      <c r="D23" s="96">
        <f>[15]Свод!$N$19</f>
        <v>8019.3079999999973</v>
      </c>
      <c r="E23" s="96">
        <v>827</v>
      </c>
      <c r="F23" s="98">
        <v>1981</v>
      </c>
      <c r="G23" s="96" t="s">
        <v>24</v>
      </c>
      <c r="H23" s="96" t="s">
        <v>24</v>
      </c>
      <c r="I23" s="99" t="s">
        <v>16</v>
      </c>
      <c r="J23" s="99" t="s">
        <v>16</v>
      </c>
      <c r="K23" s="97">
        <v>11.77</v>
      </c>
      <c r="L23" s="99">
        <v>4.95</v>
      </c>
      <c r="M23" s="96" t="s">
        <v>16</v>
      </c>
      <c r="N23" s="96" t="s">
        <v>16</v>
      </c>
      <c r="O23" s="96" t="s">
        <v>16</v>
      </c>
      <c r="P23" s="96" t="s">
        <v>16</v>
      </c>
      <c r="Q23" s="67"/>
      <c r="R23" s="67"/>
    </row>
    <row r="24" spans="1:18" ht="15.75" x14ac:dyDescent="0.25">
      <c r="A24" s="14">
        <f t="shared" si="1"/>
        <v>15</v>
      </c>
      <c r="B24" s="18" t="s">
        <v>40</v>
      </c>
      <c r="C24" s="96">
        <f>'[6]01.01.2020'!$D$24</f>
        <v>38062.04</v>
      </c>
      <c r="D24" s="96">
        <f>[15]Свод!$N$20</f>
        <v>38062.04</v>
      </c>
      <c r="E24" s="96">
        <v>188372</v>
      </c>
      <c r="F24" s="98">
        <f>E24</f>
        <v>188372</v>
      </c>
      <c r="G24" s="96">
        <f>'[5]01.01.2018'!$H$23</f>
        <v>3575.81</v>
      </c>
      <c r="H24" s="96">
        <f>G24</f>
        <v>3575.81</v>
      </c>
      <c r="I24" s="99" t="s">
        <v>16</v>
      </c>
      <c r="J24" s="99" t="s">
        <v>16</v>
      </c>
      <c r="K24" s="99" t="s">
        <v>24</v>
      </c>
      <c r="L24" s="99" t="s">
        <v>29</v>
      </c>
      <c r="M24" s="96" t="s">
        <v>16</v>
      </c>
      <c r="N24" s="96" t="s">
        <v>16</v>
      </c>
      <c r="O24" s="96" t="s">
        <v>16</v>
      </c>
      <c r="P24" s="96" t="s">
        <v>16</v>
      </c>
      <c r="Q24" s="67"/>
      <c r="R24" s="67"/>
    </row>
    <row r="25" spans="1:18" ht="15.75" x14ac:dyDescent="0.25">
      <c r="A25" s="14">
        <f t="shared" si="1"/>
        <v>16</v>
      </c>
      <c r="B25" s="18" t="s">
        <v>41</v>
      </c>
      <c r="C25" s="96">
        <f>'[6]01.01.2020'!$D$25</f>
        <v>4156.6099999999997</v>
      </c>
      <c r="D25" s="97">
        <f>[15]Свод!$N$22</f>
        <v>4156.6099999999997</v>
      </c>
      <c r="E25" s="96" t="s">
        <v>24</v>
      </c>
      <c r="F25" s="98" t="s">
        <v>24</v>
      </c>
      <c r="G25" s="96" t="str">
        <f>'[4]01.01.2016'!H24</f>
        <v>-</v>
      </c>
      <c r="H25" s="96" t="s">
        <v>24</v>
      </c>
      <c r="I25" s="99" t="s">
        <v>16</v>
      </c>
      <c r="J25" s="99" t="s">
        <v>16</v>
      </c>
      <c r="K25" s="99" t="s">
        <v>24</v>
      </c>
      <c r="L25" s="99" t="s">
        <v>29</v>
      </c>
      <c r="M25" s="96" t="s">
        <v>24</v>
      </c>
      <c r="N25" s="96" t="s">
        <v>24</v>
      </c>
      <c r="O25" s="96" t="s">
        <v>24</v>
      </c>
      <c r="P25" s="96" t="s">
        <v>24</v>
      </c>
      <c r="Q25" s="67"/>
      <c r="R25" s="105"/>
    </row>
    <row r="26" spans="1:18" ht="15.75" x14ac:dyDescent="0.25">
      <c r="A26" s="14">
        <f t="shared" si="1"/>
        <v>17</v>
      </c>
      <c r="B26" s="18" t="s">
        <v>42</v>
      </c>
      <c r="C26" s="96">
        <f>'[6]01.01.2020'!$D$26</f>
        <v>20182.28</v>
      </c>
      <c r="D26" s="97">
        <f>[15]Свод!$N$23</f>
        <v>20182.280000000002</v>
      </c>
      <c r="E26" s="96">
        <v>46797</v>
      </c>
      <c r="F26" s="98">
        <f>E26</f>
        <v>46797</v>
      </c>
      <c r="G26" s="96" t="str">
        <f>'[4]01.01.2016'!H18</f>
        <v>-</v>
      </c>
      <c r="H26" s="96" t="s">
        <v>24</v>
      </c>
      <c r="I26" s="99" t="s">
        <v>16</v>
      </c>
      <c r="J26" s="99" t="s">
        <v>16</v>
      </c>
      <c r="K26" s="97">
        <v>36.72</v>
      </c>
      <c r="L26" s="99">
        <v>36.72</v>
      </c>
      <c r="M26" s="96" t="s">
        <v>16</v>
      </c>
      <c r="N26" s="96" t="s">
        <v>16</v>
      </c>
      <c r="O26" s="96" t="s">
        <v>16</v>
      </c>
      <c r="P26" s="96" t="s">
        <v>16</v>
      </c>
      <c r="Q26" s="67"/>
      <c r="R26" s="67"/>
    </row>
    <row r="27" spans="1:18" ht="15.75" x14ac:dyDescent="0.25">
      <c r="A27" s="14">
        <f t="shared" si="1"/>
        <v>18</v>
      </c>
      <c r="B27" s="20" t="s">
        <v>43</v>
      </c>
      <c r="C27" s="21">
        <f>SUM(C11:C26)</f>
        <v>237577.42799999993</v>
      </c>
      <c r="D27" s="21">
        <f>SUM(D11:D26)</f>
        <v>241063.16799999998</v>
      </c>
      <c r="E27" s="21">
        <f>SUM(E11:E26)+E7</f>
        <v>446574.53191000002</v>
      </c>
      <c r="F27" s="21">
        <f>SUM(F11:F26)+F7</f>
        <v>443455.18036</v>
      </c>
      <c r="G27" s="21">
        <f>SUM(G7:G26)</f>
        <v>3575.81</v>
      </c>
      <c r="H27" s="21">
        <f>SUM(H7:H26)</f>
        <v>3575.81</v>
      </c>
      <c r="I27" s="21">
        <f>SUM(I7)</f>
        <v>19788.080000000002</v>
      </c>
      <c r="J27" s="21">
        <f>SUM(J7)</f>
        <v>21328</v>
      </c>
      <c r="K27" s="21">
        <f>SUM(K11:K26)</f>
        <v>286.61</v>
      </c>
      <c r="L27" s="21">
        <f>SUM(L11:L26)</f>
        <v>283.83000000000004</v>
      </c>
      <c r="M27" s="21">
        <f>SUM(M7:M25)</f>
        <v>2685.86</v>
      </c>
      <c r="N27" s="21">
        <f>SUM(N7:N25)</f>
        <v>2685.86</v>
      </c>
      <c r="O27" s="21">
        <f>SUM(O7:O25)</f>
        <v>15024.05</v>
      </c>
      <c r="P27" s="21">
        <f>SUM(P7:P25)</f>
        <v>18066.39</v>
      </c>
      <c r="Q27" s="67"/>
      <c r="R27" s="67"/>
    </row>
    <row r="28" spans="1:18" ht="15.75" x14ac:dyDescent="0.25">
      <c r="A28" s="105"/>
      <c r="B28" s="23"/>
      <c r="C28" s="24"/>
      <c r="D28" s="146"/>
      <c r="E28" s="24"/>
      <c r="F28" s="45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45"/>
      <c r="R28" s="45"/>
    </row>
    <row r="29" spans="1:18" ht="15.75" x14ac:dyDescent="0.25">
      <c r="A29" s="105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45"/>
    </row>
    <row r="30" spans="1:18" ht="15.75" x14ac:dyDescent="0.25">
      <c r="A30" s="105"/>
      <c r="B30" s="54" t="s">
        <v>44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8" ht="15.75" x14ac:dyDescent="0.25">
      <c r="A31" s="105"/>
      <c r="B31" s="2" t="s">
        <v>45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ht="15.75" x14ac:dyDescent="0.25">
      <c r="A32" s="105"/>
      <c r="B32" s="2" t="s">
        <v>56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5.75" x14ac:dyDescent="0.25">
      <c r="A33" s="105"/>
      <c r="B33" s="55" t="s">
        <v>57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5.75" x14ac:dyDescent="0.25">
      <c r="A34" s="105"/>
      <c r="B34" s="2" t="s">
        <v>48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6.5" thickBot="1" x14ac:dyDescent="0.3">
      <c r="A35" s="105"/>
      <c r="B35" s="2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6.5" thickBot="1" x14ac:dyDescent="0.3">
      <c r="A36" s="105"/>
      <c r="B36" s="135" t="s">
        <v>61</v>
      </c>
      <c r="C36" s="136"/>
      <c r="D36" s="136"/>
      <c r="E36" s="136"/>
      <c r="F36" s="136"/>
      <c r="G36" s="136"/>
      <c r="H36" s="137"/>
      <c r="I36" s="24"/>
      <c r="J36" s="24"/>
      <c r="K36" s="24"/>
      <c r="L36" s="24"/>
      <c r="M36" s="24"/>
      <c r="N36" s="24"/>
      <c r="O36" s="24"/>
      <c r="P36" s="24"/>
    </row>
    <row r="37" spans="1:16" ht="75.75" thickBot="1" x14ac:dyDescent="0.3">
      <c r="A37" s="105"/>
      <c r="B37" s="68" t="s">
        <v>49</v>
      </c>
      <c r="C37" s="24"/>
      <c r="D37" s="131" t="s">
        <v>60</v>
      </c>
      <c r="E37" s="132"/>
      <c r="F37" s="132"/>
      <c r="G37" s="132"/>
      <c r="H37" s="132"/>
      <c r="I37" s="133"/>
      <c r="J37" s="134"/>
      <c r="K37" s="104"/>
      <c r="L37" s="104"/>
      <c r="M37" s="104"/>
      <c r="N37" s="24"/>
      <c r="O37" s="24"/>
      <c r="P37" s="24"/>
    </row>
    <row r="38" spans="1:16" ht="15.75" x14ac:dyDescent="0.25">
      <c r="A38" s="105"/>
      <c r="B38" s="68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ht="15.75" x14ac:dyDescent="0.25">
      <c r="A39" s="105"/>
      <c r="B39" s="29" t="s">
        <v>50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s="69" customFormat="1" x14ac:dyDescent="0.25">
      <c r="B40" s="70" t="s">
        <v>51</v>
      </c>
      <c r="C40" s="71"/>
      <c r="D40" s="71"/>
      <c r="E40" s="71"/>
      <c r="F40" s="71"/>
      <c r="G40" s="72"/>
      <c r="L40" s="73"/>
    </row>
    <row r="41" spans="1:16" x14ac:dyDescent="0.25">
      <c r="B41" s="74" t="s">
        <v>52</v>
      </c>
      <c r="D41" s="45"/>
      <c r="F41" s="45"/>
    </row>
    <row r="42" spans="1:16" x14ac:dyDescent="0.25">
      <c r="B42" s="29" t="s">
        <v>53</v>
      </c>
      <c r="F42" s="45"/>
    </row>
    <row r="43" spans="1:16" x14ac:dyDescent="0.25">
      <c r="B43" s="75" t="s">
        <v>54</v>
      </c>
    </row>
    <row r="45" spans="1:16" x14ac:dyDescent="0.25">
      <c r="F45" s="45"/>
    </row>
  </sheetData>
  <mergeCells count="18">
    <mergeCell ref="A1:N1"/>
    <mergeCell ref="A3:A5"/>
    <mergeCell ref="B3:B5"/>
    <mergeCell ref="C3:D4"/>
    <mergeCell ref="E3:F4"/>
    <mergeCell ref="G3:H4"/>
    <mergeCell ref="I3:L3"/>
    <mergeCell ref="M3:N3"/>
    <mergeCell ref="B36:H36"/>
    <mergeCell ref="D37:J37"/>
    <mergeCell ref="O3:P3"/>
    <mergeCell ref="Q3:R3"/>
    <mergeCell ref="I4:J4"/>
    <mergeCell ref="K4:L4"/>
    <mergeCell ref="M4:N4"/>
    <mergeCell ref="O4:P4"/>
    <mergeCell ref="Q4:Q5"/>
    <mergeCell ref="R4:R5"/>
  </mergeCells>
  <hyperlinks>
    <hyperlink ref="B37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4"/>
  <sheetViews>
    <sheetView view="pageBreakPreview" zoomScaleNormal="100" zoomScaleSheetLayoutView="100" workbookViewId="0">
      <selection activeCell="L23" sqref="L23"/>
    </sheetView>
  </sheetViews>
  <sheetFormatPr defaultRowHeight="15" x14ac:dyDescent="0.25"/>
  <cols>
    <col min="1" max="1" width="7.42578125" customWidth="1"/>
    <col min="2" max="2" width="32.5703125" customWidth="1"/>
    <col min="3" max="3" width="12.7109375" customWidth="1"/>
    <col min="4" max="4" width="14" customWidth="1"/>
    <col min="5" max="5" width="14.5703125" customWidth="1"/>
    <col min="6" max="6" width="12.42578125" customWidth="1"/>
    <col min="7" max="7" width="14.42578125" customWidth="1"/>
    <col min="8" max="9" width="12.7109375" customWidth="1"/>
    <col min="10" max="13" width="11.7109375" customWidth="1"/>
    <col min="14" max="16" width="13.5703125" customWidth="1"/>
    <col min="17" max="17" width="14.85546875" customWidth="1"/>
    <col min="18" max="18" width="15" customWidth="1"/>
  </cols>
  <sheetData>
    <row r="1" spans="1:18" ht="30.75" customHeight="1" x14ac:dyDescent="0.25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"/>
      <c r="P1" s="1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 t="s">
        <v>1</v>
      </c>
    </row>
    <row r="3" spans="1:18" ht="51" customHeight="1" x14ac:dyDescent="0.25">
      <c r="A3" s="111" t="s">
        <v>2</v>
      </c>
      <c r="B3" s="111" t="s">
        <v>3</v>
      </c>
      <c r="C3" s="112" t="s">
        <v>4</v>
      </c>
      <c r="D3" s="113"/>
      <c r="E3" s="112" t="s">
        <v>5</v>
      </c>
      <c r="F3" s="113"/>
      <c r="G3" s="112" t="s">
        <v>6</v>
      </c>
      <c r="H3" s="113"/>
      <c r="I3" s="116" t="s">
        <v>7</v>
      </c>
      <c r="J3" s="117"/>
      <c r="K3" s="117"/>
      <c r="L3" s="118"/>
      <c r="M3" s="111" t="s">
        <v>8</v>
      </c>
      <c r="N3" s="111"/>
      <c r="O3" s="111" t="s">
        <v>9</v>
      </c>
      <c r="P3" s="111"/>
      <c r="Q3" s="125"/>
      <c r="R3" s="125"/>
    </row>
    <row r="4" spans="1:18" ht="62.25" customHeight="1" x14ac:dyDescent="0.25">
      <c r="A4" s="111"/>
      <c r="B4" s="111"/>
      <c r="C4" s="114"/>
      <c r="D4" s="115"/>
      <c r="E4" s="114"/>
      <c r="F4" s="115"/>
      <c r="G4" s="114"/>
      <c r="H4" s="115"/>
      <c r="I4" s="116" t="s">
        <v>11</v>
      </c>
      <c r="J4" s="118"/>
      <c r="K4" s="116" t="s">
        <v>12</v>
      </c>
      <c r="L4" s="118"/>
      <c r="M4" s="111" t="s">
        <v>11</v>
      </c>
      <c r="N4" s="111"/>
      <c r="O4" s="111" t="s">
        <v>11</v>
      </c>
      <c r="P4" s="111"/>
      <c r="Q4" s="126"/>
      <c r="R4" s="127"/>
    </row>
    <row r="5" spans="1:18" s="2" customFormat="1" ht="15" customHeight="1" x14ac:dyDescent="0.25">
      <c r="A5" s="111"/>
      <c r="B5" s="111"/>
      <c r="C5" s="47" t="s">
        <v>55</v>
      </c>
      <c r="D5" s="6">
        <v>43862</v>
      </c>
      <c r="E5" s="47" t="str">
        <f>C5</f>
        <v xml:space="preserve"> 01.01.2020</v>
      </c>
      <c r="F5" s="6">
        <f>D5</f>
        <v>43862</v>
      </c>
      <c r="G5" s="47" t="str">
        <f>C5</f>
        <v xml:space="preserve"> 01.01.2020</v>
      </c>
      <c r="H5" s="6">
        <f>D5</f>
        <v>43862</v>
      </c>
      <c r="I5" s="6" t="str">
        <f>C5</f>
        <v xml:space="preserve"> 01.01.2020</v>
      </c>
      <c r="J5" s="6">
        <f>D5</f>
        <v>43862</v>
      </c>
      <c r="K5" s="6" t="str">
        <f>C5</f>
        <v xml:space="preserve"> 01.01.2020</v>
      </c>
      <c r="L5" s="6">
        <f>D5</f>
        <v>43862</v>
      </c>
      <c r="M5" s="47" t="str">
        <f>C5</f>
        <v xml:space="preserve"> 01.01.2020</v>
      </c>
      <c r="N5" s="6">
        <f>D5</f>
        <v>43862</v>
      </c>
      <c r="O5" s="47" t="str">
        <f>E5</f>
        <v xml:space="preserve"> 01.01.2020</v>
      </c>
      <c r="P5" s="6">
        <f>F5</f>
        <v>43862</v>
      </c>
      <c r="Q5" s="126"/>
      <c r="R5" s="126"/>
    </row>
    <row r="6" spans="1:18" ht="15.7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7">
        <v>9</v>
      </c>
      <c r="J6" s="7">
        <v>10</v>
      </c>
      <c r="K6" s="7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39"/>
      <c r="R6" s="39"/>
    </row>
    <row r="7" spans="1:18" ht="15.75" x14ac:dyDescent="0.25">
      <c r="A7" s="9">
        <v>1</v>
      </c>
      <c r="B7" s="10" t="s">
        <v>15</v>
      </c>
      <c r="C7" s="11" t="s">
        <v>16</v>
      </c>
      <c r="D7" s="11" t="s">
        <v>16</v>
      </c>
      <c r="E7" s="11">
        <f>E8+E10+E9</f>
        <v>53600.531910000005</v>
      </c>
      <c r="F7" s="11">
        <f>F8+F10+F9</f>
        <v>62947.40085000002</v>
      </c>
      <c r="G7" s="11" t="s">
        <v>16</v>
      </c>
      <c r="H7" s="11" t="s">
        <v>16</v>
      </c>
      <c r="I7" s="12">
        <v>19788.080000000002</v>
      </c>
      <c r="J7" s="44">
        <v>23238.67</v>
      </c>
      <c r="K7" s="11" t="s">
        <v>16</v>
      </c>
      <c r="L7" s="43"/>
      <c r="M7" s="12">
        <f>'[1]01.05.2018'!N7</f>
        <v>2685.86</v>
      </c>
      <c r="N7" s="42">
        <f>M7</f>
        <v>2685.86</v>
      </c>
      <c r="O7" s="12">
        <v>15024.05</v>
      </c>
      <c r="P7" s="42">
        <v>16723.580000000002</v>
      </c>
      <c r="Q7" s="40"/>
      <c r="R7" s="40"/>
    </row>
    <row r="8" spans="1:18" ht="17.25" customHeight="1" x14ac:dyDescent="0.25">
      <c r="A8" s="14" t="s">
        <v>17</v>
      </c>
      <c r="B8" s="15" t="s">
        <v>18</v>
      </c>
      <c r="C8" s="11" t="s">
        <v>16</v>
      </c>
      <c r="D8" s="11" t="s">
        <v>16</v>
      </c>
      <c r="E8" s="12">
        <f>3804630.15/1000</f>
        <v>3804.63015</v>
      </c>
      <c r="F8" s="42">
        <f>4469061.07/1000</f>
        <v>4469.0610700000007</v>
      </c>
      <c r="G8" s="11" t="s">
        <v>16</v>
      </c>
      <c r="H8" s="11" t="s">
        <v>16</v>
      </c>
      <c r="I8" s="11" t="s">
        <v>16</v>
      </c>
      <c r="J8" s="11" t="s">
        <v>16</v>
      </c>
      <c r="K8" s="11" t="s">
        <v>16</v>
      </c>
      <c r="L8" s="43"/>
      <c r="M8" s="11" t="s">
        <v>16</v>
      </c>
      <c r="N8" s="11" t="s">
        <v>16</v>
      </c>
      <c r="O8" s="11" t="s">
        <v>16</v>
      </c>
      <c r="P8" s="11" t="s">
        <v>16</v>
      </c>
      <c r="Q8" s="40"/>
      <c r="R8" s="41"/>
    </row>
    <row r="9" spans="1:18" ht="44.25" customHeight="1" x14ac:dyDescent="0.25">
      <c r="A9" s="14" t="s">
        <v>19</v>
      </c>
      <c r="B9" s="16" t="s">
        <v>20</v>
      </c>
      <c r="C9" s="11" t="s">
        <v>16</v>
      </c>
      <c r="D9" s="11" t="s">
        <v>16</v>
      </c>
      <c r="E9" s="12">
        <f>[2]TDSheet!$K$154/1000</f>
        <v>49757.100100000003</v>
      </c>
      <c r="F9" s="11">
        <f>[7]TDSheet!$K$160/1000</f>
        <v>58451.623910000017</v>
      </c>
      <c r="G9" s="11" t="s">
        <v>16</v>
      </c>
      <c r="H9" s="11" t="s">
        <v>16</v>
      </c>
      <c r="I9" s="11" t="s">
        <v>16</v>
      </c>
      <c r="J9" s="11" t="s">
        <v>16</v>
      </c>
      <c r="K9" s="11" t="s">
        <v>16</v>
      </c>
      <c r="L9" s="43"/>
      <c r="M9" s="11" t="s">
        <v>16</v>
      </c>
      <c r="N9" s="11" t="s">
        <v>16</v>
      </c>
      <c r="O9" s="11" t="s">
        <v>16</v>
      </c>
      <c r="P9" s="11" t="s">
        <v>16</v>
      </c>
      <c r="Q9" s="40"/>
      <c r="R9" s="41"/>
    </row>
    <row r="10" spans="1:18" ht="15.75" x14ac:dyDescent="0.25">
      <c r="A10" s="14" t="s">
        <v>21</v>
      </c>
      <c r="B10" s="17" t="s">
        <v>22</v>
      </c>
      <c r="C10" s="11" t="s">
        <v>16</v>
      </c>
      <c r="D10" s="11" t="s">
        <v>16</v>
      </c>
      <c r="E10" s="12">
        <f>38801.66/1000</f>
        <v>38.801660000000005</v>
      </c>
      <c r="F10" s="42">
        <f>26715.87/1000</f>
        <v>26.715869999999999</v>
      </c>
      <c r="G10" s="11" t="s">
        <v>16</v>
      </c>
      <c r="H10" s="11" t="s">
        <v>16</v>
      </c>
      <c r="I10" s="11" t="s">
        <v>16</v>
      </c>
      <c r="J10" s="11" t="s">
        <v>16</v>
      </c>
      <c r="K10" s="11" t="s">
        <v>16</v>
      </c>
      <c r="L10" s="43"/>
      <c r="M10" s="11" t="s">
        <v>16</v>
      </c>
      <c r="N10" s="11" t="s">
        <v>16</v>
      </c>
      <c r="O10" s="11" t="s">
        <v>16</v>
      </c>
      <c r="P10" s="11" t="s">
        <v>16</v>
      </c>
      <c r="Q10" s="40"/>
      <c r="R10" s="41"/>
    </row>
    <row r="11" spans="1:18" ht="15.75" x14ac:dyDescent="0.25">
      <c r="A11" s="14">
        <v>2</v>
      </c>
      <c r="B11" s="18" t="s">
        <v>23</v>
      </c>
      <c r="C11" s="11">
        <f>'[6]01.01.2020'!$D$11</f>
        <v>5650.0309999999999</v>
      </c>
      <c r="D11" s="11" t="e">
        <f>#REF!</f>
        <v>#REF!</v>
      </c>
      <c r="E11" s="11">
        <v>15925</v>
      </c>
      <c r="F11" s="46">
        <v>15936</v>
      </c>
      <c r="G11" s="11" t="s">
        <v>24</v>
      </c>
      <c r="H11" s="11" t="s">
        <v>24</v>
      </c>
      <c r="I11" s="11" t="s">
        <v>16</v>
      </c>
      <c r="J11" s="11" t="s">
        <v>16</v>
      </c>
      <c r="K11" s="12">
        <v>6.36</v>
      </c>
      <c r="L11" s="43">
        <v>6.36</v>
      </c>
      <c r="M11" s="11" t="s">
        <v>16</v>
      </c>
      <c r="N11" s="11" t="s">
        <v>16</v>
      </c>
      <c r="O11" s="11" t="s">
        <v>16</v>
      </c>
      <c r="P11" s="11" t="s">
        <v>16</v>
      </c>
      <c r="Q11" s="40"/>
      <c r="R11" s="40"/>
    </row>
    <row r="12" spans="1:18" ht="15.75" x14ac:dyDescent="0.25">
      <c r="A12" s="14">
        <f>A11+1</f>
        <v>3</v>
      </c>
      <c r="B12" s="18" t="s">
        <v>25</v>
      </c>
      <c r="C12" s="11">
        <f>'[6]01.01.2020'!$D$12</f>
        <v>673.89999999999964</v>
      </c>
      <c r="D12" s="11" t="e">
        <f>#REF!</f>
        <v>#REF!</v>
      </c>
      <c r="E12" s="11">
        <v>112</v>
      </c>
      <c r="F12" s="46">
        <v>132</v>
      </c>
      <c r="G12" s="11" t="s">
        <v>24</v>
      </c>
      <c r="H12" s="11" t="s">
        <v>24</v>
      </c>
      <c r="I12" s="11" t="s">
        <v>16</v>
      </c>
      <c r="J12" s="11" t="s">
        <v>16</v>
      </c>
      <c r="K12" s="12">
        <v>0</v>
      </c>
      <c r="L12" s="43">
        <v>0</v>
      </c>
      <c r="M12" s="11" t="s">
        <v>16</v>
      </c>
      <c r="N12" s="11" t="s">
        <v>16</v>
      </c>
      <c r="O12" s="11" t="s">
        <v>16</v>
      </c>
      <c r="P12" s="11" t="s">
        <v>16</v>
      </c>
      <c r="Q12" s="40"/>
      <c r="R12" s="40"/>
    </row>
    <row r="13" spans="1:18" ht="18" customHeight="1" x14ac:dyDescent="0.25">
      <c r="A13" s="14">
        <f t="shared" ref="A13:A14" si="0">A12+1</f>
        <v>4</v>
      </c>
      <c r="B13" s="18" t="s">
        <v>26</v>
      </c>
      <c r="C13" s="11">
        <f>'[6]01.01.2020'!$D$13</f>
        <v>20434.799999999988</v>
      </c>
      <c r="D13" s="11" t="e">
        <f>#REF!</f>
        <v>#REF!</v>
      </c>
      <c r="E13" s="11">
        <v>26253</v>
      </c>
      <c r="F13" s="46">
        <v>23545</v>
      </c>
      <c r="G13" s="11" t="s">
        <v>24</v>
      </c>
      <c r="H13" s="11" t="s">
        <v>24</v>
      </c>
      <c r="I13" s="11" t="s">
        <v>16</v>
      </c>
      <c r="J13" s="11" t="s">
        <v>16</v>
      </c>
      <c r="K13" s="12">
        <v>22.36</v>
      </c>
      <c r="L13" s="43">
        <v>22.36</v>
      </c>
      <c r="M13" s="11" t="s">
        <v>16</v>
      </c>
      <c r="N13" s="11" t="s">
        <v>16</v>
      </c>
      <c r="O13" s="11" t="s">
        <v>16</v>
      </c>
      <c r="P13" s="11" t="s">
        <v>16</v>
      </c>
      <c r="Q13" s="40"/>
      <c r="R13" s="40"/>
    </row>
    <row r="14" spans="1:18" ht="31.5" x14ac:dyDescent="0.25">
      <c r="A14" s="14">
        <f t="shared" si="0"/>
        <v>5</v>
      </c>
      <c r="B14" s="18" t="s">
        <v>27</v>
      </c>
      <c r="C14" s="11">
        <f>'[6]01.01.2020'!$D$14</f>
        <v>10040.79999999999</v>
      </c>
      <c r="D14" s="11" t="e">
        <f>#REF!</f>
        <v>#REF!</v>
      </c>
      <c r="E14" s="11">
        <v>1130</v>
      </c>
      <c r="F14" s="46">
        <v>991</v>
      </c>
      <c r="G14" s="11" t="s">
        <v>24</v>
      </c>
      <c r="H14" s="11" t="s">
        <v>24</v>
      </c>
      <c r="I14" s="11" t="s">
        <v>16</v>
      </c>
      <c r="J14" s="11" t="s">
        <v>16</v>
      </c>
      <c r="K14" s="12">
        <v>0</v>
      </c>
      <c r="L14" s="43">
        <v>0</v>
      </c>
      <c r="M14" s="11" t="s">
        <v>16</v>
      </c>
      <c r="N14" s="11" t="s">
        <v>16</v>
      </c>
      <c r="O14" s="11" t="s">
        <v>16</v>
      </c>
      <c r="P14" s="11" t="s">
        <v>16</v>
      </c>
      <c r="Q14" s="40"/>
      <c r="R14" s="40"/>
    </row>
    <row r="15" spans="1:18" ht="15.75" x14ac:dyDescent="0.25">
      <c r="A15" s="14">
        <f>A14+1</f>
        <v>6</v>
      </c>
      <c r="B15" s="18" t="s">
        <v>28</v>
      </c>
      <c r="C15" s="11">
        <f>'[6]01.01.2020'!$D$15</f>
        <v>30846.32999999998</v>
      </c>
      <c r="D15" s="11" t="e">
        <f>#REF!</f>
        <v>#REF!</v>
      </c>
      <c r="E15" s="11">
        <v>46515</v>
      </c>
      <c r="F15" s="46">
        <v>46502</v>
      </c>
      <c r="G15" s="11" t="s">
        <v>29</v>
      </c>
      <c r="H15" s="11" t="s">
        <v>29</v>
      </c>
      <c r="I15" s="11" t="s">
        <v>16</v>
      </c>
      <c r="J15" s="11" t="s">
        <v>16</v>
      </c>
      <c r="K15" s="12">
        <v>209.4</v>
      </c>
      <c r="L15" s="43">
        <v>209.4</v>
      </c>
      <c r="M15" s="11" t="s">
        <v>16</v>
      </c>
      <c r="N15" s="11" t="s">
        <v>16</v>
      </c>
      <c r="O15" s="11" t="s">
        <v>16</v>
      </c>
      <c r="P15" s="11" t="s">
        <v>16</v>
      </c>
      <c r="Q15" s="40"/>
      <c r="R15" s="40"/>
    </row>
    <row r="16" spans="1:18" ht="17.25" customHeight="1" x14ac:dyDescent="0.25">
      <c r="A16" s="14">
        <f t="shared" ref="A16:A27" si="1">A15+1</f>
        <v>7</v>
      </c>
      <c r="B16" s="19" t="s">
        <v>30</v>
      </c>
      <c r="C16" s="11">
        <f>'[6]01.01.2020'!$D$16</f>
        <v>2252</v>
      </c>
      <c r="D16" s="11" t="e">
        <f>#REF!</f>
        <v>#REF!</v>
      </c>
      <c r="E16" s="11" t="s">
        <v>31</v>
      </c>
      <c r="F16" s="11" t="s">
        <v>31</v>
      </c>
      <c r="G16" s="11" t="s">
        <v>32</v>
      </c>
      <c r="H16" s="11" t="s">
        <v>29</v>
      </c>
      <c r="I16" s="11" t="s">
        <v>16</v>
      </c>
      <c r="J16" s="11" t="s">
        <v>16</v>
      </c>
      <c r="K16" s="12" t="s">
        <v>29</v>
      </c>
      <c r="L16" s="43"/>
      <c r="M16" s="11" t="s">
        <v>16</v>
      </c>
      <c r="N16" s="11" t="s">
        <v>16</v>
      </c>
      <c r="O16" s="11" t="s">
        <v>16</v>
      </c>
      <c r="P16" s="11" t="s">
        <v>16</v>
      </c>
      <c r="Q16" s="40"/>
      <c r="R16" s="40"/>
    </row>
    <row r="17" spans="1:18" ht="15.75" x14ac:dyDescent="0.25">
      <c r="A17" s="14">
        <f t="shared" si="1"/>
        <v>8</v>
      </c>
      <c r="B17" s="18" t="s">
        <v>33</v>
      </c>
      <c r="C17" s="11">
        <f>'[6]01.01.2020'!$D$17</f>
        <v>61241.929999999978</v>
      </c>
      <c r="D17" s="12" t="e">
        <f>#REF!</f>
        <v>#REF!</v>
      </c>
      <c r="E17" s="11">
        <v>51560</v>
      </c>
      <c r="F17" s="46">
        <v>52810</v>
      </c>
      <c r="G17" s="11" t="s">
        <v>29</v>
      </c>
      <c r="H17" s="11" t="s">
        <v>29</v>
      </c>
      <c r="I17" s="11" t="s">
        <v>16</v>
      </c>
      <c r="J17" s="11" t="s">
        <v>16</v>
      </c>
      <c r="K17" s="12">
        <v>0</v>
      </c>
      <c r="L17" s="43">
        <v>0</v>
      </c>
      <c r="M17" s="11" t="s">
        <v>16</v>
      </c>
      <c r="N17" s="11" t="s">
        <v>16</v>
      </c>
      <c r="O17" s="11" t="s">
        <v>16</v>
      </c>
      <c r="P17" s="11" t="s">
        <v>16</v>
      </c>
      <c r="Q17" s="40"/>
      <c r="R17" s="40"/>
    </row>
    <row r="18" spans="1:18" ht="15.75" x14ac:dyDescent="0.25">
      <c r="A18" s="14">
        <f t="shared" si="1"/>
        <v>9</v>
      </c>
      <c r="B18" s="18" t="s">
        <v>34</v>
      </c>
      <c r="C18" s="11">
        <f>'[6]01.01.2020'!$D$18</f>
        <v>17219.333999999995</v>
      </c>
      <c r="D18" s="12" t="e">
        <f>#REF!</f>
        <v>#REF!</v>
      </c>
      <c r="E18" s="11">
        <v>8820</v>
      </c>
      <c r="F18" s="46">
        <v>8699</v>
      </c>
      <c r="G18" s="11" t="str">
        <f>'[4]01.01.2016'!H19</f>
        <v>-</v>
      </c>
      <c r="H18" s="11" t="s">
        <v>24</v>
      </c>
      <c r="I18" s="11" t="s">
        <v>16</v>
      </c>
      <c r="J18" s="11" t="s">
        <v>16</v>
      </c>
      <c r="K18" s="12">
        <v>0</v>
      </c>
      <c r="L18" s="43">
        <v>0</v>
      </c>
      <c r="M18" s="11" t="s">
        <v>16</v>
      </c>
      <c r="N18" s="11" t="s">
        <v>16</v>
      </c>
      <c r="O18" s="11" t="s">
        <v>16</v>
      </c>
      <c r="P18" s="11" t="s">
        <v>16</v>
      </c>
      <c r="Q18" s="40"/>
      <c r="R18" s="40"/>
    </row>
    <row r="19" spans="1:18" ht="15.75" x14ac:dyDescent="0.25">
      <c r="A19" s="14">
        <f t="shared" si="1"/>
        <v>10</v>
      </c>
      <c r="B19" s="18" t="s">
        <v>35</v>
      </c>
      <c r="C19" s="11">
        <f>'[6]01.01.2020'!$D$19</f>
        <v>9515.3999999999978</v>
      </c>
      <c r="D19" s="11" t="e">
        <f>#REF!</f>
        <v>#REF!</v>
      </c>
      <c r="E19" s="11">
        <v>4883</v>
      </c>
      <c r="F19" s="46">
        <v>4882</v>
      </c>
      <c r="G19" s="11" t="s">
        <v>29</v>
      </c>
      <c r="H19" s="11" t="s">
        <v>29</v>
      </c>
      <c r="I19" s="11" t="s">
        <v>16</v>
      </c>
      <c r="J19" s="11" t="s">
        <v>16</v>
      </c>
      <c r="K19" s="12">
        <v>0</v>
      </c>
      <c r="L19" s="43">
        <v>0</v>
      </c>
      <c r="M19" s="11" t="s">
        <v>16</v>
      </c>
      <c r="N19" s="11" t="s">
        <v>16</v>
      </c>
      <c r="O19" s="11" t="s">
        <v>16</v>
      </c>
      <c r="P19" s="11" t="s">
        <v>16</v>
      </c>
      <c r="Q19" s="40"/>
      <c r="R19" s="40"/>
    </row>
    <row r="20" spans="1:18" ht="15.75" x14ac:dyDescent="0.25">
      <c r="A20" s="14">
        <f t="shared" si="1"/>
        <v>11</v>
      </c>
      <c r="B20" s="18" t="s">
        <v>36</v>
      </c>
      <c r="C20" s="11">
        <f>'[6]01.01.2020'!$D$20</f>
        <v>6023.6200000000044</v>
      </c>
      <c r="D20" s="11" t="e">
        <f>#REF!</f>
        <v>#REF!</v>
      </c>
      <c r="E20" s="11">
        <v>163</v>
      </c>
      <c r="F20" s="46">
        <v>52</v>
      </c>
      <c r="G20" s="11" t="s">
        <v>29</v>
      </c>
      <c r="H20" s="11" t="s">
        <v>29</v>
      </c>
      <c r="I20" s="11" t="s">
        <v>16</v>
      </c>
      <c r="J20" s="11" t="s">
        <v>16</v>
      </c>
      <c r="K20" s="12">
        <v>0</v>
      </c>
      <c r="L20" s="43">
        <v>0</v>
      </c>
      <c r="M20" s="11" t="s">
        <v>16</v>
      </c>
      <c r="N20" s="11" t="s">
        <v>16</v>
      </c>
      <c r="O20" s="11" t="s">
        <v>16</v>
      </c>
      <c r="P20" s="11" t="s">
        <v>16</v>
      </c>
      <c r="Q20" s="40"/>
      <c r="R20" s="40"/>
    </row>
    <row r="21" spans="1:18" ht="15.75" x14ac:dyDescent="0.25">
      <c r="A21" s="14">
        <f t="shared" si="1"/>
        <v>12</v>
      </c>
      <c r="B21" s="18" t="s">
        <v>37</v>
      </c>
      <c r="C21" s="11">
        <f>'[6]01.01.2020'!$D$21</f>
        <v>5118.8900000000049</v>
      </c>
      <c r="D21" s="11" t="e">
        <f>#REF!</f>
        <v>#REF!</v>
      </c>
      <c r="E21" s="11">
        <v>1582</v>
      </c>
      <c r="F21" s="46">
        <v>1637</v>
      </c>
      <c r="G21" s="11" t="s">
        <v>24</v>
      </c>
      <c r="H21" s="11" t="s">
        <v>24</v>
      </c>
      <c r="I21" s="11" t="s">
        <v>16</v>
      </c>
      <c r="J21" s="11" t="s">
        <v>16</v>
      </c>
      <c r="K21" s="12">
        <v>0</v>
      </c>
      <c r="L21" s="43">
        <v>0</v>
      </c>
      <c r="M21" s="11" t="s">
        <v>16</v>
      </c>
      <c r="N21" s="11" t="s">
        <v>16</v>
      </c>
      <c r="O21" s="11" t="s">
        <v>16</v>
      </c>
      <c r="P21" s="11" t="s">
        <v>16</v>
      </c>
      <c r="Q21" s="40"/>
      <c r="R21" s="40"/>
    </row>
    <row r="22" spans="1:18" ht="15.75" x14ac:dyDescent="0.25">
      <c r="A22" s="14">
        <f t="shared" si="1"/>
        <v>13</v>
      </c>
      <c r="B22" s="18" t="s">
        <v>38</v>
      </c>
      <c r="C22" s="11">
        <f>'[6]01.01.2020'!$D$22</f>
        <v>804.08999999999992</v>
      </c>
      <c r="D22" s="11" t="e">
        <f>#REF!</f>
        <v>#REF!</v>
      </c>
      <c r="E22" s="11">
        <v>35</v>
      </c>
      <c r="F22" s="46">
        <v>21</v>
      </c>
      <c r="G22" s="11" t="s">
        <v>24</v>
      </c>
      <c r="H22" s="11" t="s">
        <v>24</v>
      </c>
      <c r="I22" s="11" t="s">
        <v>16</v>
      </c>
      <c r="J22" s="11" t="s">
        <v>16</v>
      </c>
      <c r="K22" s="12">
        <v>0</v>
      </c>
      <c r="L22" s="43">
        <v>0</v>
      </c>
      <c r="M22" s="11" t="s">
        <v>16</v>
      </c>
      <c r="N22" s="11" t="s">
        <v>16</v>
      </c>
      <c r="O22" s="11" t="s">
        <v>16</v>
      </c>
      <c r="P22" s="11" t="s">
        <v>16</v>
      </c>
      <c r="Q22" s="40"/>
      <c r="R22" s="40"/>
    </row>
    <row r="23" spans="1:18" ht="15.75" x14ac:dyDescent="0.25">
      <c r="A23" s="14">
        <f t="shared" si="1"/>
        <v>14</v>
      </c>
      <c r="B23" s="18" t="s">
        <v>39</v>
      </c>
      <c r="C23" s="11">
        <f>'[6]01.01.2020'!$D$23</f>
        <v>5355.3780000000006</v>
      </c>
      <c r="D23" s="11" t="e">
        <f>#REF!</f>
        <v>#REF!</v>
      </c>
      <c r="E23" s="11">
        <v>827</v>
      </c>
      <c r="F23" s="46">
        <v>996</v>
      </c>
      <c r="G23" s="11" t="s">
        <v>24</v>
      </c>
      <c r="H23" s="11" t="s">
        <v>24</v>
      </c>
      <c r="I23" s="11" t="s">
        <v>16</v>
      </c>
      <c r="J23" s="11" t="s">
        <v>16</v>
      </c>
      <c r="K23" s="12">
        <v>11.77</v>
      </c>
      <c r="L23" s="43">
        <v>11.77</v>
      </c>
      <c r="M23" s="11" t="s">
        <v>16</v>
      </c>
      <c r="N23" s="11" t="s">
        <v>16</v>
      </c>
      <c r="O23" s="11" t="s">
        <v>16</v>
      </c>
      <c r="P23" s="11" t="s">
        <v>16</v>
      </c>
      <c r="Q23" s="40"/>
      <c r="R23" s="40"/>
    </row>
    <row r="24" spans="1:18" ht="15.75" x14ac:dyDescent="0.25">
      <c r="A24" s="14">
        <f t="shared" si="1"/>
        <v>15</v>
      </c>
      <c r="B24" s="18" t="s">
        <v>40</v>
      </c>
      <c r="C24" s="11">
        <f>'[6]01.01.2020'!$D$24</f>
        <v>38062.04</v>
      </c>
      <c r="D24" s="11">
        <f>C24</f>
        <v>38062.04</v>
      </c>
      <c r="E24" s="11">
        <v>188372</v>
      </c>
      <c r="F24" s="46">
        <f>E24</f>
        <v>188372</v>
      </c>
      <c r="G24" s="11">
        <f>'[5]01.01.2018'!$H$23</f>
        <v>3575.81</v>
      </c>
      <c r="H24" s="11">
        <f>G24</f>
        <v>3575.81</v>
      </c>
      <c r="I24" s="11" t="s">
        <v>16</v>
      </c>
      <c r="J24" s="11" t="s">
        <v>16</v>
      </c>
      <c r="K24" s="12">
        <v>0</v>
      </c>
      <c r="L24" s="43">
        <v>0</v>
      </c>
      <c r="M24" s="11" t="s">
        <v>16</v>
      </c>
      <c r="N24" s="11" t="s">
        <v>16</v>
      </c>
      <c r="O24" s="11" t="s">
        <v>16</v>
      </c>
      <c r="P24" s="11" t="s">
        <v>16</v>
      </c>
      <c r="Q24" s="40"/>
      <c r="R24" s="40"/>
    </row>
    <row r="25" spans="1:18" ht="15.75" x14ac:dyDescent="0.25">
      <c r="A25" s="14">
        <f t="shared" si="1"/>
        <v>16</v>
      </c>
      <c r="B25" s="18" t="s">
        <v>41</v>
      </c>
      <c r="C25" s="11">
        <f>'[6]01.01.2020'!$D$25</f>
        <v>4156.6099999999997</v>
      </c>
      <c r="D25" s="12">
        <f>C25</f>
        <v>4156.6099999999997</v>
      </c>
      <c r="E25" s="11" t="s">
        <v>24</v>
      </c>
      <c r="F25" s="46"/>
      <c r="G25" s="11" t="str">
        <f>'[4]01.01.2016'!H24</f>
        <v>-</v>
      </c>
      <c r="H25" s="11" t="s">
        <v>24</v>
      </c>
      <c r="I25" s="11" t="s">
        <v>16</v>
      </c>
      <c r="J25" s="11" t="s">
        <v>16</v>
      </c>
      <c r="K25" s="11" t="s">
        <v>24</v>
      </c>
      <c r="L25" s="43" t="s">
        <v>29</v>
      </c>
      <c r="M25" s="11" t="s">
        <v>24</v>
      </c>
      <c r="N25" s="11" t="s">
        <v>24</v>
      </c>
      <c r="O25" s="11" t="s">
        <v>24</v>
      </c>
      <c r="P25" s="11" t="s">
        <v>24</v>
      </c>
      <c r="Q25" s="40"/>
      <c r="R25" s="39"/>
    </row>
    <row r="26" spans="1:18" ht="15.75" x14ac:dyDescent="0.25">
      <c r="A26" s="14">
        <f t="shared" si="1"/>
        <v>17</v>
      </c>
      <c r="B26" s="18" t="s">
        <v>42</v>
      </c>
      <c r="C26" s="11">
        <f>'[6]01.01.2020'!$D$26</f>
        <v>20182.28</v>
      </c>
      <c r="D26" s="12">
        <f>C26</f>
        <v>20182.28</v>
      </c>
      <c r="E26" s="11">
        <v>46797</v>
      </c>
      <c r="F26" s="46">
        <f>E26</f>
        <v>46797</v>
      </c>
      <c r="G26" s="11" t="str">
        <f>'[4]01.01.2016'!H18</f>
        <v>-</v>
      </c>
      <c r="H26" s="11" t="s">
        <v>24</v>
      </c>
      <c r="I26" s="11" t="s">
        <v>16</v>
      </c>
      <c r="J26" s="11" t="s">
        <v>16</v>
      </c>
      <c r="K26" s="12">
        <v>36.72</v>
      </c>
      <c r="L26" s="43">
        <v>36.72</v>
      </c>
      <c r="M26" s="11" t="s">
        <v>16</v>
      </c>
      <c r="N26" s="11" t="s">
        <v>16</v>
      </c>
      <c r="O26" s="11" t="s">
        <v>16</v>
      </c>
      <c r="P26" s="11" t="s">
        <v>16</v>
      </c>
      <c r="Q26" s="40"/>
      <c r="R26" s="40"/>
    </row>
    <row r="27" spans="1:18" ht="15.75" x14ac:dyDescent="0.25">
      <c r="A27" s="14">
        <f t="shared" si="1"/>
        <v>18</v>
      </c>
      <c r="B27" s="20" t="s">
        <v>43</v>
      </c>
      <c r="C27" s="21">
        <f>SUM(C11:C26)</f>
        <v>237577.43299999993</v>
      </c>
      <c r="D27" s="21" t="e">
        <f>SUM(D11:D26)</f>
        <v>#REF!</v>
      </c>
      <c r="E27" s="21">
        <f>SUM(E11:E26)+E7</f>
        <v>446574.53191000002</v>
      </c>
      <c r="F27" s="21">
        <f>SUM(F11:F26)+F7</f>
        <v>454319.40085000003</v>
      </c>
      <c r="G27" s="21">
        <f>SUM(G7:G26)</f>
        <v>3575.81</v>
      </c>
      <c r="H27" s="21">
        <f>SUM(H7:H26)</f>
        <v>3575.81</v>
      </c>
      <c r="I27" s="21">
        <f>SUM(I7)</f>
        <v>19788.080000000002</v>
      </c>
      <c r="J27" s="21">
        <f>SUM(J7)</f>
        <v>23238.67</v>
      </c>
      <c r="K27" s="21">
        <f>SUM(K11:K26)</f>
        <v>286.61</v>
      </c>
      <c r="L27" s="21">
        <f>SUM(L11:L26)</f>
        <v>286.61</v>
      </c>
      <c r="M27" s="21">
        <f>SUM(M7:M25)</f>
        <v>2685.86</v>
      </c>
      <c r="N27" s="21">
        <f>SUM(N7:N25)</f>
        <v>2685.86</v>
      </c>
      <c r="O27" s="21">
        <f>SUM(O7:O25)</f>
        <v>15024.05</v>
      </c>
      <c r="P27" s="21">
        <f>SUM(P7:P25)</f>
        <v>16723.580000000002</v>
      </c>
      <c r="Q27" s="40"/>
      <c r="R27" s="40"/>
    </row>
    <row r="28" spans="1:18" ht="15.75" x14ac:dyDescent="0.25">
      <c r="A28" s="22"/>
      <c r="B28" s="23"/>
      <c r="C28" s="24"/>
      <c r="D28" s="24"/>
      <c r="E28" s="24"/>
      <c r="F28" s="45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/>
      <c r="R28" s="25"/>
    </row>
    <row r="29" spans="1:18" ht="15.75" x14ac:dyDescent="0.25">
      <c r="A29" s="22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/>
    </row>
    <row r="30" spans="1:18" ht="15.75" x14ac:dyDescent="0.25">
      <c r="A30" s="22"/>
      <c r="B30" s="23" t="s">
        <v>44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8" ht="15.75" x14ac:dyDescent="0.25">
      <c r="A31" s="22"/>
      <c r="B31" s="2" t="s">
        <v>45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s="2" customFormat="1" ht="15.75" x14ac:dyDescent="0.25">
      <c r="A32" s="22"/>
      <c r="B32" s="2" t="s">
        <v>56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s="2" customFormat="1" ht="15.75" x14ac:dyDescent="0.25">
      <c r="A33" s="22"/>
      <c r="B33" s="26" t="s">
        <v>57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s="2" customFormat="1" ht="15.75" x14ac:dyDescent="0.25">
      <c r="A34" s="22"/>
      <c r="B34" s="2" t="s">
        <v>48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s="2" customFormat="1" ht="15.75" x14ac:dyDescent="0.25">
      <c r="A35" s="22"/>
      <c r="B3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s="2" customFormat="1" ht="75" x14ac:dyDescent="0.25">
      <c r="A36" s="22"/>
      <c r="B36" s="27" t="s">
        <v>49</v>
      </c>
      <c r="C36" s="24"/>
      <c r="D36" s="28"/>
      <c r="E36" s="119"/>
      <c r="F36" s="119"/>
      <c r="G36" s="119"/>
      <c r="H36" s="119"/>
      <c r="I36" s="119"/>
      <c r="J36" s="119"/>
      <c r="K36" s="119"/>
      <c r="L36" s="119"/>
      <c r="M36" s="119"/>
      <c r="N36" s="24"/>
      <c r="O36" s="24"/>
      <c r="P36" s="24"/>
    </row>
    <row r="37" spans="1:16" s="2" customFormat="1" ht="15.75" x14ac:dyDescent="0.25">
      <c r="A37" s="22"/>
      <c r="B37" s="27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s="2" customFormat="1" ht="15.75" x14ac:dyDescent="0.25">
      <c r="A38" s="22"/>
      <c r="B38" s="29" t="s">
        <v>50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s="30" customFormat="1" x14ac:dyDescent="0.25">
      <c r="B39" s="31" t="s">
        <v>51</v>
      </c>
      <c r="C39" s="32"/>
      <c r="D39" s="32"/>
      <c r="E39" s="32"/>
      <c r="F39" s="32"/>
      <c r="G39" s="33"/>
      <c r="L39" s="34"/>
    </row>
    <row r="40" spans="1:16" x14ac:dyDescent="0.25">
      <c r="B40" s="35" t="s">
        <v>52</v>
      </c>
      <c r="D40" s="25"/>
      <c r="F40" s="25"/>
    </row>
    <row r="41" spans="1:16" x14ac:dyDescent="0.25">
      <c r="B41" s="36" t="s">
        <v>53</v>
      </c>
      <c r="F41" s="25"/>
    </row>
    <row r="42" spans="1:16" x14ac:dyDescent="0.25">
      <c r="B42" s="37" t="s">
        <v>54</v>
      </c>
    </row>
    <row r="44" spans="1:16" x14ac:dyDescent="0.25">
      <c r="F44" s="25"/>
    </row>
  </sheetData>
  <mergeCells count="17">
    <mergeCell ref="E36:M36"/>
    <mergeCell ref="O3:P3"/>
    <mergeCell ref="Q3:R3"/>
    <mergeCell ref="I4:J4"/>
    <mergeCell ref="K4:L4"/>
    <mergeCell ref="M4:N4"/>
    <mergeCell ref="O4:P4"/>
    <mergeCell ref="Q4:Q5"/>
    <mergeCell ref="R4:R5"/>
    <mergeCell ref="A1:N1"/>
    <mergeCell ref="A3:A5"/>
    <mergeCell ref="B3:B5"/>
    <mergeCell ref="C3:D4"/>
    <mergeCell ref="E3:F4"/>
    <mergeCell ref="G3:H4"/>
    <mergeCell ref="I3:L3"/>
    <mergeCell ref="M3:N3"/>
  </mergeCells>
  <hyperlinks>
    <hyperlink ref="B36" r:id="rId1"/>
  </hyperlinks>
  <pageMargins left="0.27" right="0" top="0" bottom="0" header="0.31496062992125984" footer="0.31496062992125984"/>
  <pageSetup paperSize="9" scale="64" orientation="landscape" r:id="rId2"/>
  <ignoredErrors>
    <ignoredError sqref="G24" formula="1"/>
  </ignoredError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5"/>
  <sheetViews>
    <sheetView view="pageBreakPreview" zoomScaleNormal="100" zoomScaleSheetLayoutView="100" workbookViewId="0">
      <selection activeCell="D13" sqref="D13"/>
    </sheetView>
  </sheetViews>
  <sheetFormatPr defaultRowHeight="15" x14ac:dyDescent="0.25"/>
  <cols>
    <col min="1" max="1" width="7.42578125" customWidth="1"/>
    <col min="2" max="2" width="32.5703125" customWidth="1"/>
    <col min="3" max="3" width="12.7109375" customWidth="1"/>
    <col min="4" max="4" width="14" customWidth="1"/>
    <col min="5" max="5" width="14.5703125" customWidth="1"/>
    <col min="6" max="6" width="12.42578125" customWidth="1"/>
    <col min="7" max="7" width="14.42578125" customWidth="1"/>
    <col min="8" max="9" width="12.7109375" customWidth="1"/>
    <col min="10" max="13" width="11.7109375" customWidth="1"/>
    <col min="14" max="16" width="13.5703125" customWidth="1"/>
    <col min="17" max="17" width="14.85546875" customWidth="1"/>
    <col min="18" max="18" width="15" customWidth="1"/>
  </cols>
  <sheetData>
    <row r="1" spans="1:18" ht="30.75" customHeight="1" x14ac:dyDescent="0.25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49"/>
      <c r="P1" s="49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 t="s">
        <v>1</v>
      </c>
    </row>
    <row r="3" spans="1:18" ht="51" customHeight="1" x14ac:dyDescent="0.25">
      <c r="A3" s="111" t="s">
        <v>2</v>
      </c>
      <c r="B3" s="111" t="s">
        <v>3</v>
      </c>
      <c r="C3" s="112" t="s">
        <v>4</v>
      </c>
      <c r="D3" s="113"/>
      <c r="E3" s="112" t="s">
        <v>5</v>
      </c>
      <c r="F3" s="113"/>
      <c r="G3" s="112" t="s">
        <v>6</v>
      </c>
      <c r="H3" s="113"/>
      <c r="I3" s="116" t="s">
        <v>7</v>
      </c>
      <c r="J3" s="117"/>
      <c r="K3" s="117"/>
      <c r="L3" s="118"/>
      <c r="M3" s="111" t="s">
        <v>8</v>
      </c>
      <c r="N3" s="111"/>
      <c r="O3" s="111" t="s">
        <v>9</v>
      </c>
      <c r="P3" s="111"/>
      <c r="Q3" s="125"/>
      <c r="R3" s="125"/>
    </row>
    <row r="4" spans="1:18" ht="62.25" customHeight="1" x14ac:dyDescent="0.25">
      <c r="A4" s="111"/>
      <c r="B4" s="111"/>
      <c r="C4" s="114"/>
      <c r="D4" s="115"/>
      <c r="E4" s="114"/>
      <c r="F4" s="115"/>
      <c r="G4" s="114"/>
      <c r="H4" s="115"/>
      <c r="I4" s="116" t="s">
        <v>11</v>
      </c>
      <c r="J4" s="118"/>
      <c r="K4" s="116" t="s">
        <v>12</v>
      </c>
      <c r="L4" s="118"/>
      <c r="M4" s="111" t="s">
        <v>11</v>
      </c>
      <c r="N4" s="111"/>
      <c r="O4" s="111" t="s">
        <v>11</v>
      </c>
      <c r="P4" s="111"/>
      <c r="Q4" s="126"/>
      <c r="R4" s="127"/>
    </row>
    <row r="5" spans="1:18" s="2" customFormat="1" ht="15" customHeight="1" x14ac:dyDescent="0.25">
      <c r="A5" s="111"/>
      <c r="B5" s="111"/>
      <c r="C5" s="48" t="s">
        <v>55</v>
      </c>
      <c r="D5" s="6">
        <v>43891</v>
      </c>
      <c r="E5" s="48" t="str">
        <f>C5</f>
        <v xml:space="preserve"> 01.01.2020</v>
      </c>
      <c r="F5" s="6">
        <f>D5</f>
        <v>43891</v>
      </c>
      <c r="G5" s="51" t="str">
        <f>C5</f>
        <v xml:space="preserve"> 01.01.2020</v>
      </c>
      <c r="H5" s="6">
        <f>D5</f>
        <v>43891</v>
      </c>
      <c r="I5" s="6" t="str">
        <f>C5</f>
        <v xml:space="preserve"> 01.01.2020</v>
      </c>
      <c r="J5" s="6">
        <f>D5</f>
        <v>43891</v>
      </c>
      <c r="K5" s="6" t="str">
        <f>C5</f>
        <v xml:space="preserve"> 01.01.2020</v>
      </c>
      <c r="L5" s="6">
        <f>D5</f>
        <v>43891</v>
      </c>
      <c r="M5" s="51" t="str">
        <f>C5</f>
        <v xml:space="preserve"> 01.01.2020</v>
      </c>
      <c r="N5" s="6">
        <f>D5</f>
        <v>43891</v>
      </c>
      <c r="O5" s="51" t="str">
        <f>E5</f>
        <v xml:space="preserve"> 01.01.2020</v>
      </c>
      <c r="P5" s="6">
        <f>F5</f>
        <v>43891</v>
      </c>
      <c r="Q5" s="126"/>
      <c r="R5" s="126"/>
    </row>
    <row r="6" spans="1:18" ht="15.75" customHeight="1" x14ac:dyDescent="0.25">
      <c r="A6" s="48">
        <v>1</v>
      </c>
      <c r="B6" s="48">
        <v>2</v>
      </c>
      <c r="C6" s="48">
        <v>3</v>
      </c>
      <c r="D6" s="48">
        <v>4</v>
      </c>
      <c r="E6" s="48">
        <v>5</v>
      </c>
      <c r="F6" s="51">
        <v>6</v>
      </c>
      <c r="G6" s="51">
        <v>7</v>
      </c>
      <c r="H6" s="51">
        <v>8</v>
      </c>
      <c r="I6" s="7">
        <v>9</v>
      </c>
      <c r="J6" s="7">
        <v>10</v>
      </c>
      <c r="K6" s="7">
        <v>11</v>
      </c>
      <c r="L6" s="51">
        <v>12</v>
      </c>
      <c r="M6" s="51">
        <v>13</v>
      </c>
      <c r="N6" s="51">
        <v>14</v>
      </c>
      <c r="O6" s="51">
        <v>15</v>
      </c>
      <c r="P6" s="51">
        <v>16</v>
      </c>
      <c r="Q6" s="50"/>
      <c r="R6" s="50"/>
    </row>
    <row r="7" spans="1:18" ht="15.75" x14ac:dyDescent="0.25">
      <c r="A7" s="9">
        <v>1</v>
      </c>
      <c r="B7" s="10" t="s">
        <v>15</v>
      </c>
      <c r="C7" s="11" t="s">
        <v>16</v>
      </c>
      <c r="D7" s="11" t="s">
        <v>16</v>
      </c>
      <c r="E7" s="11">
        <f>E8+E10+E9</f>
        <v>53600.531910000005</v>
      </c>
      <c r="F7" s="11">
        <f>F8+F10+F9</f>
        <v>68196.770499999999</v>
      </c>
      <c r="G7" s="11" t="s">
        <v>16</v>
      </c>
      <c r="H7" s="11" t="s">
        <v>16</v>
      </c>
      <c r="I7" s="12">
        <v>19788.080000000002</v>
      </c>
      <c r="J7" s="52">
        <v>21784.15</v>
      </c>
      <c r="K7" s="53" t="s">
        <v>16</v>
      </c>
      <c r="L7" s="56"/>
      <c r="M7" s="12">
        <f>'[1]01.05.2018'!N7</f>
        <v>2685.86</v>
      </c>
      <c r="N7" s="42">
        <f>M7</f>
        <v>2685.86</v>
      </c>
      <c r="O7" s="12">
        <v>15024.05</v>
      </c>
      <c r="P7" s="57">
        <v>17551.77</v>
      </c>
      <c r="Q7" s="40"/>
      <c r="R7" s="40"/>
    </row>
    <row r="8" spans="1:18" ht="17.25" customHeight="1" x14ac:dyDescent="0.25">
      <c r="A8" s="14" t="s">
        <v>17</v>
      </c>
      <c r="B8" s="15" t="s">
        <v>18</v>
      </c>
      <c r="C8" s="11" t="s">
        <v>16</v>
      </c>
      <c r="D8" s="11" t="s">
        <v>16</v>
      </c>
      <c r="E8" s="12">
        <f>3804630.15/1000</f>
        <v>3804.63015</v>
      </c>
      <c r="F8" s="58">
        <f>4608154.16/1000</f>
        <v>4608.15416</v>
      </c>
      <c r="G8" s="11" t="s">
        <v>16</v>
      </c>
      <c r="H8" s="11" t="s">
        <v>16</v>
      </c>
      <c r="I8" s="53" t="s">
        <v>16</v>
      </c>
      <c r="J8" s="53" t="s">
        <v>16</v>
      </c>
      <c r="K8" s="53" t="s">
        <v>16</v>
      </c>
      <c r="L8" s="56"/>
      <c r="M8" s="11" t="s">
        <v>16</v>
      </c>
      <c r="N8" s="11" t="s">
        <v>16</v>
      </c>
      <c r="O8" s="11" t="s">
        <v>16</v>
      </c>
      <c r="P8" s="11" t="s">
        <v>16</v>
      </c>
      <c r="Q8" s="40"/>
      <c r="R8" s="41"/>
    </row>
    <row r="9" spans="1:18" ht="44.25" customHeight="1" x14ac:dyDescent="0.25">
      <c r="A9" s="14" t="s">
        <v>19</v>
      </c>
      <c r="B9" s="16" t="s">
        <v>20</v>
      </c>
      <c r="C9" s="11" t="s">
        <v>16</v>
      </c>
      <c r="D9" s="11" t="s">
        <v>16</v>
      </c>
      <c r="E9" s="12">
        <f>[2]TDSheet!$K$154/1000</f>
        <v>49757.100100000003</v>
      </c>
      <c r="F9" s="11">
        <f>[8]TDSheet!$K$163/1000</f>
        <v>63517.81738</v>
      </c>
      <c r="G9" s="11" t="s">
        <v>16</v>
      </c>
      <c r="H9" s="11" t="s">
        <v>16</v>
      </c>
      <c r="I9" s="53" t="s">
        <v>16</v>
      </c>
      <c r="J9" s="53" t="s">
        <v>16</v>
      </c>
      <c r="K9" s="53" t="s">
        <v>16</v>
      </c>
      <c r="L9" s="56"/>
      <c r="M9" s="11" t="s">
        <v>16</v>
      </c>
      <c r="N9" s="11" t="s">
        <v>16</v>
      </c>
      <c r="O9" s="11" t="s">
        <v>16</v>
      </c>
      <c r="P9" s="11" t="s">
        <v>16</v>
      </c>
      <c r="Q9" s="40"/>
      <c r="R9" s="41"/>
    </row>
    <row r="10" spans="1:18" ht="15.75" x14ac:dyDescent="0.25">
      <c r="A10" s="14" t="s">
        <v>21</v>
      </c>
      <c r="B10" s="17" t="s">
        <v>22</v>
      </c>
      <c r="C10" s="11" t="s">
        <v>16</v>
      </c>
      <c r="D10" s="11" t="s">
        <v>16</v>
      </c>
      <c r="E10" s="12">
        <f>38801.66/1000</f>
        <v>38.801660000000005</v>
      </c>
      <c r="F10" s="58">
        <f>70798.96/1000</f>
        <v>70.798960000000008</v>
      </c>
      <c r="G10" s="11" t="s">
        <v>16</v>
      </c>
      <c r="H10" s="11" t="s">
        <v>16</v>
      </c>
      <c r="I10" s="53" t="s">
        <v>16</v>
      </c>
      <c r="J10" s="53" t="s">
        <v>16</v>
      </c>
      <c r="K10" s="53" t="s">
        <v>16</v>
      </c>
      <c r="L10" s="56"/>
      <c r="M10" s="11" t="s">
        <v>16</v>
      </c>
      <c r="N10" s="11" t="s">
        <v>16</v>
      </c>
      <c r="O10" s="11" t="s">
        <v>16</v>
      </c>
      <c r="P10" s="11" t="s">
        <v>16</v>
      </c>
      <c r="Q10" s="40"/>
      <c r="R10" s="41"/>
    </row>
    <row r="11" spans="1:18" ht="15.75" x14ac:dyDescent="0.25">
      <c r="A11" s="14">
        <v>2</v>
      </c>
      <c r="B11" s="18" t="s">
        <v>23</v>
      </c>
      <c r="C11" s="11">
        <f>'[6]01.01.2020'!$D$11</f>
        <v>5650.0309999999999</v>
      </c>
      <c r="D11" s="11" t="e">
        <f>#REF!</f>
        <v>#REF!</v>
      </c>
      <c r="E11" s="11">
        <v>15925</v>
      </c>
      <c r="F11" s="58">
        <v>15946</v>
      </c>
      <c r="G11" s="11" t="s">
        <v>24</v>
      </c>
      <c r="H11" s="11" t="s">
        <v>24</v>
      </c>
      <c r="I11" s="53" t="s">
        <v>16</v>
      </c>
      <c r="J11" s="53" t="s">
        <v>16</v>
      </c>
      <c r="K11" s="12">
        <v>6.36</v>
      </c>
      <c r="L11" s="56">
        <v>6.36</v>
      </c>
      <c r="M11" s="11" t="s">
        <v>16</v>
      </c>
      <c r="N11" s="11" t="s">
        <v>16</v>
      </c>
      <c r="O11" s="11" t="s">
        <v>16</v>
      </c>
      <c r="P11" s="11" t="s">
        <v>16</v>
      </c>
      <c r="Q11" s="40"/>
      <c r="R11" s="40"/>
    </row>
    <row r="12" spans="1:18" ht="15.75" x14ac:dyDescent="0.25">
      <c r="A12" s="14">
        <f>A11+1</f>
        <v>3</v>
      </c>
      <c r="B12" s="18" t="s">
        <v>25</v>
      </c>
      <c r="C12" s="11">
        <f>'[6]01.01.2020'!$D$12</f>
        <v>673.89999999999964</v>
      </c>
      <c r="D12" s="11" t="e">
        <f>#REF!</f>
        <v>#REF!</v>
      </c>
      <c r="E12" s="11">
        <v>112</v>
      </c>
      <c r="F12" s="58">
        <v>95</v>
      </c>
      <c r="G12" s="11" t="s">
        <v>24</v>
      </c>
      <c r="H12" s="11" t="s">
        <v>24</v>
      </c>
      <c r="I12" s="53" t="s">
        <v>16</v>
      </c>
      <c r="J12" s="53" t="s">
        <v>16</v>
      </c>
      <c r="K12" s="12">
        <v>0</v>
      </c>
      <c r="L12" s="56">
        <v>0</v>
      </c>
      <c r="M12" s="11" t="s">
        <v>16</v>
      </c>
      <c r="N12" s="11" t="s">
        <v>16</v>
      </c>
      <c r="O12" s="11" t="s">
        <v>16</v>
      </c>
      <c r="P12" s="11" t="s">
        <v>16</v>
      </c>
      <c r="Q12" s="40"/>
      <c r="R12" s="40"/>
    </row>
    <row r="13" spans="1:18" ht="18" customHeight="1" x14ac:dyDescent="0.25">
      <c r="A13" s="14">
        <f t="shared" ref="A13:A14" si="0">A12+1</f>
        <v>4</v>
      </c>
      <c r="B13" s="18" t="s">
        <v>26</v>
      </c>
      <c r="C13" s="11">
        <f>'[6]01.01.2020'!$D$13</f>
        <v>20434.799999999988</v>
      </c>
      <c r="D13" s="11" t="e">
        <f>#REF!</f>
        <v>#REF!</v>
      </c>
      <c r="E13" s="11">
        <v>26253</v>
      </c>
      <c r="F13" s="58">
        <v>22700</v>
      </c>
      <c r="G13" s="11" t="s">
        <v>24</v>
      </c>
      <c r="H13" s="11" t="s">
        <v>24</v>
      </c>
      <c r="I13" s="53" t="s">
        <v>16</v>
      </c>
      <c r="J13" s="53" t="s">
        <v>16</v>
      </c>
      <c r="K13" s="12">
        <v>22.36</v>
      </c>
      <c r="L13" s="56">
        <v>60.63</v>
      </c>
      <c r="M13" s="11" t="s">
        <v>16</v>
      </c>
      <c r="N13" s="11" t="s">
        <v>16</v>
      </c>
      <c r="O13" s="11" t="s">
        <v>16</v>
      </c>
      <c r="P13" s="11" t="s">
        <v>16</v>
      </c>
      <c r="Q13" s="40"/>
      <c r="R13" s="40"/>
    </row>
    <row r="14" spans="1:18" ht="31.5" x14ac:dyDescent="0.25">
      <c r="A14" s="14">
        <f t="shared" si="0"/>
        <v>5</v>
      </c>
      <c r="B14" s="18" t="s">
        <v>27</v>
      </c>
      <c r="C14" s="11">
        <f>'[6]01.01.2020'!$D$14</f>
        <v>10040.79999999999</v>
      </c>
      <c r="D14" s="11" t="e">
        <f>#REF!</f>
        <v>#REF!</v>
      </c>
      <c r="E14" s="11">
        <v>1130</v>
      </c>
      <c r="F14" s="58">
        <v>505</v>
      </c>
      <c r="G14" s="11" t="s">
        <v>24</v>
      </c>
      <c r="H14" s="11" t="s">
        <v>24</v>
      </c>
      <c r="I14" s="53" t="s">
        <v>16</v>
      </c>
      <c r="J14" s="53" t="s">
        <v>16</v>
      </c>
      <c r="K14" s="12">
        <v>0</v>
      </c>
      <c r="L14" s="56">
        <v>0</v>
      </c>
      <c r="M14" s="11" t="s">
        <v>16</v>
      </c>
      <c r="N14" s="11" t="s">
        <v>16</v>
      </c>
      <c r="O14" s="11" t="s">
        <v>16</v>
      </c>
      <c r="P14" s="11" t="s">
        <v>16</v>
      </c>
      <c r="Q14" s="40"/>
      <c r="R14" s="40"/>
    </row>
    <row r="15" spans="1:18" ht="15.75" x14ac:dyDescent="0.25">
      <c r="A15" s="14">
        <f>A14+1</f>
        <v>6</v>
      </c>
      <c r="B15" s="18" t="s">
        <v>28</v>
      </c>
      <c r="C15" s="11">
        <f>'[6]01.01.2020'!$D$15</f>
        <v>30846.32999999998</v>
      </c>
      <c r="D15" s="11" t="e">
        <f>#REF!</f>
        <v>#REF!</v>
      </c>
      <c r="E15" s="11">
        <v>46515</v>
      </c>
      <c r="F15" s="58">
        <v>46502</v>
      </c>
      <c r="G15" s="11" t="s">
        <v>29</v>
      </c>
      <c r="H15" s="11" t="s">
        <v>29</v>
      </c>
      <c r="I15" s="53" t="s">
        <v>16</v>
      </c>
      <c r="J15" s="53" t="s">
        <v>16</v>
      </c>
      <c r="K15" s="12">
        <v>209.4</v>
      </c>
      <c r="L15" s="56">
        <v>209.4</v>
      </c>
      <c r="M15" s="11" t="s">
        <v>16</v>
      </c>
      <c r="N15" s="11" t="s">
        <v>16</v>
      </c>
      <c r="O15" s="11" t="s">
        <v>16</v>
      </c>
      <c r="P15" s="11" t="s">
        <v>16</v>
      </c>
      <c r="Q15" s="40"/>
      <c r="R15" s="40"/>
    </row>
    <row r="16" spans="1:18" ht="17.25" customHeight="1" x14ac:dyDescent="0.25">
      <c r="A16" s="14">
        <f t="shared" ref="A16:A27" si="1">A15+1</f>
        <v>7</v>
      </c>
      <c r="B16" s="19" t="s">
        <v>30</v>
      </c>
      <c r="C16" s="11">
        <f>'[6]01.01.2020'!$D$16</f>
        <v>2252</v>
      </c>
      <c r="D16" s="11" t="e">
        <f>#REF!</f>
        <v>#REF!</v>
      </c>
      <c r="E16" s="11" t="s">
        <v>31</v>
      </c>
      <c r="F16" s="53" t="s">
        <v>31</v>
      </c>
      <c r="G16" s="11" t="s">
        <v>32</v>
      </c>
      <c r="H16" s="11" t="s">
        <v>29</v>
      </c>
      <c r="I16" s="53" t="s">
        <v>16</v>
      </c>
      <c r="J16" s="53" t="s">
        <v>16</v>
      </c>
      <c r="K16" s="12" t="s">
        <v>29</v>
      </c>
      <c r="L16" s="56"/>
      <c r="M16" s="11" t="s">
        <v>16</v>
      </c>
      <c r="N16" s="11" t="s">
        <v>16</v>
      </c>
      <c r="O16" s="11" t="s">
        <v>16</v>
      </c>
      <c r="P16" s="11" t="s">
        <v>16</v>
      </c>
      <c r="Q16" s="40"/>
      <c r="R16" s="40"/>
    </row>
    <row r="17" spans="1:18" ht="15.75" x14ac:dyDescent="0.25">
      <c r="A17" s="14">
        <f t="shared" si="1"/>
        <v>8</v>
      </c>
      <c r="B17" s="18" t="s">
        <v>33</v>
      </c>
      <c r="C17" s="11">
        <f>'[6]01.01.2020'!$D$17</f>
        <v>61241.929999999978</v>
      </c>
      <c r="D17" s="12" t="e">
        <f>#REF!</f>
        <v>#REF!</v>
      </c>
      <c r="E17" s="11">
        <v>51560</v>
      </c>
      <c r="F17" s="58">
        <v>55536</v>
      </c>
      <c r="G17" s="11" t="s">
        <v>29</v>
      </c>
      <c r="H17" s="11" t="s">
        <v>29</v>
      </c>
      <c r="I17" s="53" t="s">
        <v>16</v>
      </c>
      <c r="J17" s="53" t="s">
        <v>16</v>
      </c>
      <c r="K17" s="12">
        <v>0</v>
      </c>
      <c r="L17" s="56">
        <v>11.89</v>
      </c>
      <c r="M17" s="11" t="s">
        <v>16</v>
      </c>
      <c r="N17" s="11" t="s">
        <v>16</v>
      </c>
      <c r="O17" s="11" t="s">
        <v>16</v>
      </c>
      <c r="P17" s="11" t="s">
        <v>16</v>
      </c>
      <c r="Q17" s="40"/>
      <c r="R17" s="40"/>
    </row>
    <row r="18" spans="1:18" ht="15.75" x14ac:dyDescent="0.25">
      <c r="A18" s="14">
        <f t="shared" si="1"/>
        <v>9</v>
      </c>
      <c r="B18" s="18" t="s">
        <v>34</v>
      </c>
      <c r="C18" s="11">
        <f>'[6]01.01.2020'!$D$18</f>
        <v>17219.333999999995</v>
      </c>
      <c r="D18" s="12" t="e">
        <f>#REF!</f>
        <v>#REF!</v>
      </c>
      <c r="E18" s="11">
        <v>8820</v>
      </c>
      <c r="F18" s="58">
        <v>8661</v>
      </c>
      <c r="G18" s="11" t="str">
        <f>'[4]01.01.2016'!H19</f>
        <v>-</v>
      </c>
      <c r="H18" s="11" t="s">
        <v>24</v>
      </c>
      <c r="I18" s="53" t="s">
        <v>16</v>
      </c>
      <c r="J18" s="53" t="s">
        <v>16</v>
      </c>
      <c r="K18" s="12">
        <v>0</v>
      </c>
      <c r="L18" s="56">
        <v>0</v>
      </c>
      <c r="M18" s="11" t="s">
        <v>16</v>
      </c>
      <c r="N18" s="11" t="s">
        <v>16</v>
      </c>
      <c r="O18" s="11" t="s">
        <v>16</v>
      </c>
      <c r="P18" s="11" t="s">
        <v>16</v>
      </c>
      <c r="Q18" s="40"/>
      <c r="R18" s="40"/>
    </row>
    <row r="19" spans="1:18" ht="15.75" x14ac:dyDescent="0.25">
      <c r="A19" s="14">
        <f t="shared" si="1"/>
        <v>10</v>
      </c>
      <c r="B19" s="18" t="s">
        <v>35</v>
      </c>
      <c r="C19" s="11">
        <f>'[6]01.01.2020'!$D$19</f>
        <v>9515.3999999999978</v>
      </c>
      <c r="D19" s="11" t="e">
        <f>#REF!</f>
        <v>#REF!</v>
      </c>
      <c r="E19" s="11">
        <v>4883</v>
      </c>
      <c r="F19" s="58">
        <v>4890</v>
      </c>
      <c r="G19" s="11" t="s">
        <v>29</v>
      </c>
      <c r="H19" s="11" t="s">
        <v>29</v>
      </c>
      <c r="I19" s="53" t="s">
        <v>16</v>
      </c>
      <c r="J19" s="53" t="s">
        <v>16</v>
      </c>
      <c r="K19" s="12">
        <v>0</v>
      </c>
      <c r="L19" s="56">
        <v>0</v>
      </c>
      <c r="M19" s="11" t="s">
        <v>16</v>
      </c>
      <c r="N19" s="11" t="s">
        <v>16</v>
      </c>
      <c r="O19" s="11" t="s">
        <v>16</v>
      </c>
      <c r="P19" s="11" t="s">
        <v>16</v>
      </c>
      <c r="Q19" s="40"/>
      <c r="R19" s="40"/>
    </row>
    <row r="20" spans="1:18" ht="15.75" x14ac:dyDescent="0.25">
      <c r="A20" s="14">
        <f t="shared" si="1"/>
        <v>11</v>
      </c>
      <c r="B20" s="18" t="s">
        <v>36</v>
      </c>
      <c r="C20" s="11">
        <f>'[6]01.01.2020'!$D$20</f>
        <v>6023.6200000000044</v>
      </c>
      <c r="D20" s="11" t="e">
        <f>#REF!</f>
        <v>#REF!</v>
      </c>
      <c r="E20" s="11">
        <v>163</v>
      </c>
      <c r="F20" s="58">
        <v>52</v>
      </c>
      <c r="G20" s="11" t="s">
        <v>29</v>
      </c>
      <c r="H20" s="11" t="s">
        <v>29</v>
      </c>
      <c r="I20" s="53" t="s">
        <v>16</v>
      </c>
      <c r="J20" s="53" t="s">
        <v>16</v>
      </c>
      <c r="K20" s="12">
        <v>0</v>
      </c>
      <c r="L20" s="56">
        <v>0</v>
      </c>
      <c r="M20" s="11" t="s">
        <v>16</v>
      </c>
      <c r="N20" s="11" t="s">
        <v>16</v>
      </c>
      <c r="O20" s="11" t="s">
        <v>16</v>
      </c>
      <c r="P20" s="11" t="s">
        <v>16</v>
      </c>
      <c r="Q20" s="40"/>
      <c r="R20" s="40"/>
    </row>
    <row r="21" spans="1:18" ht="15.75" x14ac:dyDescent="0.25">
      <c r="A21" s="14">
        <f t="shared" si="1"/>
        <v>12</v>
      </c>
      <c r="B21" s="18" t="s">
        <v>37</v>
      </c>
      <c r="C21" s="11">
        <f>'[6]01.01.2020'!$D$21</f>
        <v>5118.8900000000049</v>
      </c>
      <c r="D21" s="11" t="e">
        <f>#REF!</f>
        <v>#REF!</v>
      </c>
      <c r="E21" s="11">
        <v>1582</v>
      </c>
      <c r="F21" s="58">
        <v>1558</v>
      </c>
      <c r="G21" s="11" t="s">
        <v>24</v>
      </c>
      <c r="H21" s="11" t="s">
        <v>24</v>
      </c>
      <c r="I21" s="53" t="s">
        <v>16</v>
      </c>
      <c r="J21" s="53" t="s">
        <v>16</v>
      </c>
      <c r="K21" s="12">
        <v>0</v>
      </c>
      <c r="L21" s="56">
        <v>0</v>
      </c>
      <c r="M21" s="11" t="s">
        <v>16</v>
      </c>
      <c r="N21" s="11" t="s">
        <v>16</v>
      </c>
      <c r="O21" s="11" t="s">
        <v>16</v>
      </c>
      <c r="P21" s="11" t="s">
        <v>16</v>
      </c>
      <c r="Q21" s="40"/>
      <c r="R21" s="40"/>
    </row>
    <row r="22" spans="1:18" ht="15.75" x14ac:dyDescent="0.25">
      <c r="A22" s="14">
        <f t="shared" si="1"/>
        <v>13</v>
      </c>
      <c r="B22" s="18" t="s">
        <v>38</v>
      </c>
      <c r="C22" s="11">
        <f>'[6]01.01.2020'!$D$22</f>
        <v>804.08999999999992</v>
      </c>
      <c r="D22" s="11" t="e">
        <f>#REF!</f>
        <v>#REF!</v>
      </c>
      <c r="E22" s="11">
        <v>35</v>
      </c>
      <c r="F22" s="58">
        <v>10</v>
      </c>
      <c r="G22" s="11" t="s">
        <v>24</v>
      </c>
      <c r="H22" s="11" t="s">
        <v>24</v>
      </c>
      <c r="I22" s="53" t="s">
        <v>16</v>
      </c>
      <c r="J22" s="53" t="s">
        <v>16</v>
      </c>
      <c r="K22" s="12">
        <v>0</v>
      </c>
      <c r="L22" s="56">
        <v>0</v>
      </c>
      <c r="M22" s="11" t="s">
        <v>16</v>
      </c>
      <c r="N22" s="11" t="s">
        <v>16</v>
      </c>
      <c r="O22" s="11" t="s">
        <v>16</v>
      </c>
      <c r="P22" s="11" t="s">
        <v>16</v>
      </c>
      <c r="Q22" s="40"/>
      <c r="R22" s="40"/>
    </row>
    <row r="23" spans="1:18" ht="15.75" x14ac:dyDescent="0.25">
      <c r="A23" s="14">
        <f t="shared" si="1"/>
        <v>14</v>
      </c>
      <c r="B23" s="18" t="s">
        <v>39</v>
      </c>
      <c r="C23" s="11">
        <f>'[6]01.01.2020'!$D$23</f>
        <v>5355.3780000000006</v>
      </c>
      <c r="D23" s="11" t="e">
        <f>#REF!</f>
        <v>#REF!</v>
      </c>
      <c r="E23" s="11">
        <v>827</v>
      </c>
      <c r="F23" s="58">
        <v>1056</v>
      </c>
      <c r="G23" s="11" t="s">
        <v>24</v>
      </c>
      <c r="H23" s="11" t="s">
        <v>24</v>
      </c>
      <c r="I23" s="53" t="s">
        <v>16</v>
      </c>
      <c r="J23" s="53" t="s">
        <v>16</v>
      </c>
      <c r="K23" s="12">
        <v>11.77</v>
      </c>
      <c r="L23" s="56">
        <v>15.6</v>
      </c>
      <c r="M23" s="11" t="s">
        <v>16</v>
      </c>
      <c r="N23" s="11" t="s">
        <v>16</v>
      </c>
      <c r="O23" s="11" t="s">
        <v>16</v>
      </c>
      <c r="P23" s="11" t="s">
        <v>16</v>
      </c>
      <c r="Q23" s="40"/>
      <c r="R23" s="40"/>
    </row>
    <row r="24" spans="1:18" ht="15.75" x14ac:dyDescent="0.25">
      <c r="A24" s="14">
        <f t="shared" si="1"/>
        <v>15</v>
      </c>
      <c r="B24" s="18" t="s">
        <v>40</v>
      </c>
      <c r="C24" s="11">
        <f>'[6]01.01.2020'!$D$24</f>
        <v>38062.04</v>
      </c>
      <c r="D24" s="11">
        <f>C24</f>
        <v>38062.04</v>
      </c>
      <c r="E24" s="11">
        <v>188372</v>
      </c>
      <c r="F24" s="58">
        <f>E24</f>
        <v>188372</v>
      </c>
      <c r="G24" s="11">
        <f>'[5]01.01.2018'!$H$23</f>
        <v>3575.81</v>
      </c>
      <c r="H24" s="11">
        <f>G24</f>
        <v>3575.81</v>
      </c>
      <c r="I24" s="53" t="s">
        <v>16</v>
      </c>
      <c r="J24" s="53" t="s">
        <v>16</v>
      </c>
      <c r="K24" s="12">
        <v>0</v>
      </c>
      <c r="L24" s="56">
        <v>0</v>
      </c>
      <c r="M24" s="11" t="s">
        <v>16</v>
      </c>
      <c r="N24" s="11" t="s">
        <v>16</v>
      </c>
      <c r="O24" s="11" t="s">
        <v>16</v>
      </c>
      <c r="P24" s="11" t="s">
        <v>16</v>
      </c>
      <c r="Q24" s="40"/>
      <c r="R24" s="40"/>
    </row>
    <row r="25" spans="1:18" ht="15.75" x14ac:dyDescent="0.25">
      <c r="A25" s="14">
        <f t="shared" si="1"/>
        <v>16</v>
      </c>
      <c r="B25" s="18" t="s">
        <v>41</v>
      </c>
      <c r="C25" s="11">
        <f>'[6]01.01.2020'!$D$25</f>
        <v>4156.6099999999997</v>
      </c>
      <c r="D25" s="12">
        <f>C25</f>
        <v>4156.6099999999997</v>
      </c>
      <c r="E25" s="11" t="s">
        <v>24</v>
      </c>
      <c r="F25" s="58"/>
      <c r="G25" s="11" t="str">
        <f>'[4]01.01.2016'!H24</f>
        <v>-</v>
      </c>
      <c r="H25" s="11" t="s">
        <v>24</v>
      </c>
      <c r="I25" s="53" t="s">
        <v>16</v>
      </c>
      <c r="J25" s="53" t="s">
        <v>16</v>
      </c>
      <c r="K25" s="53" t="s">
        <v>24</v>
      </c>
      <c r="L25" s="56" t="s">
        <v>29</v>
      </c>
      <c r="M25" s="11" t="s">
        <v>24</v>
      </c>
      <c r="N25" s="11" t="s">
        <v>24</v>
      </c>
      <c r="O25" s="11" t="s">
        <v>24</v>
      </c>
      <c r="P25" s="11" t="s">
        <v>24</v>
      </c>
      <c r="Q25" s="40"/>
      <c r="R25" s="50"/>
    </row>
    <row r="26" spans="1:18" ht="15.75" x14ac:dyDescent="0.25">
      <c r="A26" s="14">
        <f t="shared" si="1"/>
        <v>17</v>
      </c>
      <c r="B26" s="18" t="s">
        <v>42</v>
      </c>
      <c r="C26" s="11">
        <f>'[6]01.01.2020'!$D$26</f>
        <v>20182.28</v>
      </c>
      <c r="D26" s="12">
        <f>C26</f>
        <v>20182.28</v>
      </c>
      <c r="E26" s="11">
        <v>46797</v>
      </c>
      <c r="F26" s="58">
        <f>E26</f>
        <v>46797</v>
      </c>
      <c r="G26" s="11" t="str">
        <f>'[4]01.01.2016'!H18</f>
        <v>-</v>
      </c>
      <c r="H26" s="11" t="s">
        <v>24</v>
      </c>
      <c r="I26" s="53" t="s">
        <v>16</v>
      </c>
      <c r="J26" s="53" t="s">
        <v>16</v>
      </c>
      <c r="K26" s="12">
        <v>36.72</v>
      </c>
      <c r="L26" s="56">
        <v>36.72</v>
      </c>
      <c r="M26" s="11" t="s">
        <v>16</v>
      </c>
      <c r="N26" s="11" t="s">
        <v>16</v>
      </c>
      <c r="O26" s="11" t="s">
        <v>16</v>
      </c>
      <c r="P26" s="11" t="s">
        <v>16</v>
      </c>
      <c r="Q26" s="40"/>
      <c r="R26" s="40"/>
    </row>
    <row r="27" spans="1:18" ht="15.75" x14ac:dyDescent="0.25">
      <c r="A27" s="14">
        <f t="shared" si="1"/>
        <v>18</v>
      </c>
      <c r="B27" s="20" t="s">
        <v>43</v>
      </c>
      <c r="C27" s="21">
        <f>SUM(C11:C26)</f>
        <v>237577.43299999993</v>
      </c>
      <c r="D27" s="21" t="e">
        <f>SUM(D11:D26)</f>
        <v>#REF!</v>
      </c>
      <c r="E27" s="21">
        <f>SUM(E11:E26)+E7</f>
        <v>446574.53191000002</v>
      </c>
      <c r="F27" s="21">
        <f>SUM(F11:F26)+F7</f>
        <v>460876.77049999998</v>
      </c>
      <c r="G27" s="21">
        <f>SUM(G7:G26)</f>
        <v>3575.81</v>
      </c>
      <c r="H27" s="21">
        <f>SUM(H7:H26)</f>
        <v>3575.81</v>
      </c>
      <c r="I27" s="21">
        <f>SUM(I7)</f>
        <v>19788.080000000002</v>
      </c>
      <c r="J27" s="21">
        <f>SUM(J7)</f>
        <v>21784.15</v>
      </c>
      <c r="K27" s="21">
        <f>SUM(K11:K26)</f>
        <v>286.61</v>
      </c>
      <c r="L27" s="21">
        <f>SUM(L11:L26)</f>
        <v>340.6</v>
      </c>
      <c r="M27" s="21">
        <f>SUM(M7:M25)</f>
        <v>2685.86</v>
      </c>
      <c r="N27" s="21">
        <f>SUM(N7:N25)</f>
        <v>2685.86</v>
      </c>
      <c r="O27" s="21">
        <f>SUM(O7:O25)</f>
        <v>15024.05</v>
      </c>
      <c r="P27" s="21">
        <f>SUM(P7:P25)</f>
        <v>17551.77</v>
      </c>
      <c r="Q27" s="40"/>
      <c r="R27" s="40"/>
    </row>
    <row r="28" spans="1:18" ht="15.75" x14ac:dyDescent="0.25">
      <c r="A28" s="22"/>
      <c r="B28" s="23"/>
      <c r="C28" s="24"/>
      <c r="D28" s="24"/>
      <c r="E28" s="24"/>
      <c r="F28" s="45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/>
      <c r="R28" s="25"/>
    </row>
    <row r="29" spans="1:18" ht="15.75" x14ac:dyDescent="0.25">
      <c r="A29" s="22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/>
    </row>
    <row r="30" spans="1:18" ht="15.75" x14ac:dyDescent="0.25">
      <c r="A30" s="22"/>
      <c r="B30" s="54" t="s">
        <v>44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8" ht="15.75" x14ac:dyDescent="0.25">
      <c r="A31" s="22"/>
      <c r="B31" s="2" t="s">
        <v>45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s="2" customFormat="1" ht="15.75" x14ac:dyDescent="0.25">
      <c r="A32" s="22"/>
      <c r="B32" s="2" t="s">
        <v>56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s="2" customFormat="1" ht="15.75" x14ac:dyDescent="0.25">
      <c r="A33" s="22"/>
      <c r="B33" s="55" t="s">
        <v>57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s="2" customFormat="1" ht="15.75" x14ac:dyDescent="0.25">
      <c r="A34" s="22"/>
      <c r="B34" s="2" t="s">
        <v>48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s="2" customFormat="1" ht="15.75" x14ac:dyDescent="0.25">
      <c r="A35" s="22"/>
      <c r="B35" s="2" t="s">
        <v>58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s="2" customFormat="1" ht="15.75" x14ac:dyDescent="0.25">
      <c r="A36" s="22"/>
      <c r="B36" s="2" t="s">
        <v>59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s="2" customFormat="1" ht="75" x14ac:dyDescent="0.25">
      <c r="A37" s="22"/>
      <c r="B37" s="27" t="s">
        <v>49</v>
      </c>
      <c r="C37" s="24"/>
      <c r="D37" s="28"/>
      <c r="E37" s="119"/>
      <c r="F37" s="119"/>
      <c r="G37" s="119"/>
      <c r="H37" s="119"/>
      <c r="I37" s="119"/>
      <c r="J37" s="119"/>
      <c r="K37" s="119"/>
      <c r="L37" s="119"/>
      <c r="M37" s="119"/>
      <c r="N37" s="24"/>
      <c r="O37" s="24"/>
      <c r="P37" s="24"/>
    </row>
    <row r="38" spans="1:16" s="2" customFormat="1" ht="15.75" x14ac:dyDescent="0.25">
      <c r="A38" s="22"/>
      <c r="B38" s="27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s="2" customFormat="1" ht="15.75" x14ac:dyDescent="0.25">
      <c r="A39" s="22"/>
      <c r="B39" s="29" t="s">
        <v>50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s="30" customFormat="1" x14ac:dyDescent="0.25">
      <c r="B40" s="31" t="s">
        <v>51</v>
      </c>
      <c r="C40" s="32"/>
      <c r="D40" s="32"/>
      <c r="E40" s="32"/>
      <c r="F40" s="32"/>
      <c r="G40" s="33"/>
      <c r="L40" s="34"/>
    </row>
    <row r="41" spans="1:16" x14ac:dyDescent="0.25">
      <c r="B41" s="35" t="s">
        <v>52</v>
      </c>
      <c r="D41" s="25"/>
      <c r="F41" s="25"/>
    </row>
    <row r="42" spans="1:16" x14ac:dyDescent="0.25">
      <c r="B42" s="36" t="s">
        <v>53</v>
      </c>
      <c r="F42" s="25"/>
    </row>
    <row r="43" spans="1:16" x14ac:dyDescent="0.25">
      <c r="B43" s="37" t="s">
        <v>54</v>
      </c>
    </row>
    <row r="45" spans="1:16" x14ac:dyDescent="0.25">
      <c r="F45" s="25"/>
    </row>
  </sheetData>
  <mergeCells count="17">
    <mergeCell ref="E37:M37"/>
    <mergeCell ref="O3:P3"/>
    <mergeCell ref="Q3:R3"/>
    <mergeCell ref="I4:J4"/>
    <mergeCell ref="K4:L4"/>
    <mergeCell ref="M4:N4"/>
    <mergeCell ref="O4:P4"/>
    <mergeCell ref="Q4:Q5"/>
    <mergeCell ref="R4:R5"/>
    <mergeCell ref="A1:N1"/>
    <mergeCell ref="A3:A5"/>
    <mergeCell ref="B3:B5"/>
    <mergeCell ref="C3:D4"/>
    <mergeCell ref="E3:F4"/>
    <mergeCell ref="G3:H4"/>
    <mergeCell ref="I3:L3"/>
    <mergeCell ref="M3:N3"/>
  </mergeCells>
  <hyperlinks>
    <hyperlink ref="B37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5"/>
  <sheetViews>
    <sheetView view="pageBreakPreview" topLeftCell="A4" zoomScaleNormal="100" zoomScaleSheetLayoutView="100" workbookViewId="0">
      <selection activeCell="L31" sqref="L31"/>
    </sheetView>
  </sheetViews>
  <sheetFormatPr defaultRowHeight="15" x14ac:dyDescent="0.25"/>
  <cols>
    <col min="1" max="1" width="7.42578125" customWidth="1"/>
    <col min="2" max="2" width="32.5703125" customWidth="1"/>
    <col min="3" max="3" width="12.7109375" customWidth="1"/>
    <col min="4" max="4" width="14" customWidth="1"/>
    <col min="5" max="5" width="14.5703125" customWidth="1"/>
    <col min="6" max="6" width="12.42578125" customWidth="1"/>
    <col min="7" max="7" width="14.42578125" customWidth="1"/>
    <col min="8" max="9" width="12.7109375" customWidth="1"/>
    <col min="10" max="13" width="11.7109375" customWidth="1"/>
    <col min="14" max="16" width="13.5703125" customWidth="1"/>
    <col min="17" max="17" width="14.85546875" customWidth="1"/>
    <col min="18" max="18" width="15" customWidth="1"/>
  </cols>
  <sheetData>
    <row r="1" spans="1:18" ht="30.75" customHeight="1" x14ac:dyDescent="0.25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60"/>
      <c r="P1" s="60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 t="s">
        <v>1</v>
      </c>
    </row>
    <row r="3" spans="1:18" ht="51" customHeight="1" x14ac:dyDescent="0.25">
      <c r="A3" s="111" t="s">
        <v>2</v>
      </c>
      <c r="B3" s="111" t="s">
        <v>3</v>
      </c>
      <c r="C3" s="112" t="s">
        <v>4</v>
      </c>
      <c r="D3" s="113"/>
      <c r="E3" s="112" t="s">
        <v>5</v>
      </c>
      <c r="F3" s="113"/>
      <c r="G3" s="112" t="s">
        <v>6</v>
      </c>
      <c r="H3" s="113"/>
      <c r="I3" s="116" t="s">
        <v>7</v>
      </c>
      <c r="J3" s="117"/>
      <c r="K3" s="117"/>
      <c r="L3" s="118"/>
      <c r="M3" s="111" t="s">
        <v>8</v>
      </c>
      <c r="N3" s="111"/>
      <c r="O3" s="111" t="s">
        <v>9</v>
      </c>
      <c r="P3" s="111"/>
      <c r="Q3" s="125"/>
      <c r="R3" s="125"/>
    </row>
    <row r="4" spans="1:18" ht="62.25" customHeight="1" x14ac:dyDescent="0.25">
      <c r="A4" s="111"/>
      <c r="B4" s="111"/>
      <c r="C4" s="114"/>
      <c r="D4" s="115"/>
      <c r="E4" s="114"/>
      <c r="F4" s="115"/>
      <c r="G4" s="114"/>
      <c r="H4" s="115"/>
      <c r="I4" s="116" t="s">
        <v>11</v>
      </c>
      <c r="J4" s="118"/>
      <c r="K4" s="116" t="s">
        <v>12</v>
      </c>
      <c r="L4" s="118"/>
      <c r="M4" s="111" t="s">
        <v>11</v>
      </c>
      <c r="N4" s="111"/>
      <c r="O4" s="111" t="s">
        <v>11</v>
      </c>
      <c r="P4" s="111"/>
      <c r="Q4" s="126"/>
      <c r="R4" s="127"/>
    </row>
    <row r="5" spans="1:18" s="2" customFormat="1" ht="15" customHeight="1" x14ac:dyDescent="0.25">
      <c r="A5" s="111"/>
      <c r="B5" s="111"/>
      <c r="C5" s="59" t="s">
        <v>55</v>
      </c>
      <c r="D5" s="6">
        <v>43922</v>
      </c>
      <c r="E5" s="59" t="str">
        <f>C5</f>
        <v xml:space="preserve"> 01.01.2020</v>
      </c>
      <c r="F5" s="5">
        <f>D5</f>
        <v>43922</v>
      </c>
      <c r="G5" s="59" t="str">
        <f>C5</f>
        <v xml:space="preserve"> 01.01.2020</v>
      </c>
      <c r="H5" s="5">
        <f>D5</f>
        <v>43922</v>
      </c>
      <c r="I5" s="6" t="str">
        <f>C5</f>
        <v xml:space="preserve"> 01.01.2020</v>
      </c>
      <c r="J5" s="5">
        <f>D5</f>
        <v>43922</v>
      </c>
      <c r="K5" s="6" t="str">
        <f>C5</f>
        <v xml:space="preserve"> 01.01.2020</v>
      </c>
      <c r="L5" s="5">
        <f>D5</f>
        <v>43922</v>
      </c>
      <c r="M5" s="59" t="str">
        <f>C5</f>
        <v xml:space="preserve"> 01.01.2020</v>
      </c>
      <c r="N5" s="5">
        <f>D5</f>
        <v>43922</v>
      </c>
      <c r="O5" s="59" t="str">
        <f>E5</f>
        <v xml:space="preserve"> 01.01.2020</v>
      </c>
      <c r="P5" s="5">
        <f>F5</f>
        <v>43922</v>
      </c>
      <c r="Q5" s="126"/>
      <c r="R5" s="126"/>
    </row>
    <row r="6" spans="1:18" ht="15.75" customHeight="1" x14ac:dyDescent="0.25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  <c r="I6" s="7">
        <v>9</v>
      </c>
      <c r="J6" s="7">
        <v>10</v>
      </c>
      <c r="K6" s="7">
        <v>11</v>
      </c>
      <c r="L6" s="59">
        <v>12</v>
      </c>
      <c r="M6" s="59">
        <v>13</v>
      </c>
      <c r="N6" s="59">
        <v>14</v>
      </c>
      <c r="O6" s="59">
        <v>15</v>
      </c>
      <c r="P6" s="59">
        <v>16</v>
      </c>
      <c r="Q6" s="61"/>
      <c r="R6" s="61"/>
    </row>
    <row r="7" spans="1:18" ht="15.75" x14ac:dyDescent="0.25">
      <c r="A7" s="9">
        <v>1</v>
      </c>
      <c r="B7" s="10" t="s">
        <v>15</v>
      </c>
      <c r="C7" s="11" t="s">
        <v>16</v>
      </c>
      <c r="D7" s="11" t="s">
        <v>16</v>
      </c>
      <c r="E7" s="11">
        <f>E8+E10+E9</f>
        <v>53600.531910000005</v>
      </c>
      <c r="F7" s="11">
        <f>F8+F10+F9</f>
        <v>70577.533190000002</v>
      </c>
      <c r="G7" s="11" t="s">
        <v>16</v>
      </c>
      <c r="H7" s="11" t="s">
        <v>16</v>
      </c>
      <c r="I7" s="12">
        <v>19788.080000000002</v>
      </c>
      <c r="J7" s="52">
        <v>20194.02</v>
      </c>
      <c r="K7" s="53" t="s">
        <v>16</v>
      </c>
      <c r="L7" s="56"/>
      <c r="M7" s="12">
        <f>'[1]01.05.2018'!N7</f>
        <v>2685.86</v>
      </c>
      <c r="N7" s="42">
        <f>M7</f>
        <v>2685.86</v>
      </c>
      <c r="O7" s="12">
        <v>15024.05</v>
      </c>
      <c r="P7" s="57">
        <v>17480.97</v>
      </c>
      <c r="Q7" s="40"/>
      <c r="R7" s="40"/>
    </row>
    <row r="8" spans="1:18" ht="17.25" customHeight="1" x14ac:dyDescent="0.25">
      <c r="A8" s="14" t="s">
        <v>17</v>
      </c>
      <c r="B8" s="15" t="s">
        <v>18</v>
      </c>
      <c r="C8" s="11" t="s">
        <v>16</v>
      </c>
      <c r="D8" s="11" t="s">
        <v>16</v>
      </c>
      <c r="E8" s="12">
        <f>3804630.15/1000</f>
        <v>3804.63015</v>
      </c>
      <c r="F8" s="58">
        <f>4618000.29/1000</f>
        <v>4618.0002899999999</v>
      </c>
      <c r="G8" s="11" t="s">
        <v>16</v>
      </c>
      <c r="H8" s="11" t="s">
        <v>16</v>
      </c>
      <c r="I8" s="53" t="s">
        <v>16</v>
      </c>
      <c r="J8" s="53" t="s">
        <v>16</v>
      </c>
      <c r="K8" s="53" t="s">
        <v>16</v>
      </c>
      <c r="L8" s="56"/>
      <c r="M8" s="11" t="s">
        <v>16</v>
      </c>
      <c r="N8" s="11" t="s">
        <v>16</v>
      </c>
      <c r="O8" s="11" t="s">
        <v>16</v>
      </c>
      <c r="P8" s="11" t="s">
        <v>16</v>
      </c>
      <c r="Q8" s="40"/>
      <c r="R8" s="41"/>
    </row>
    <row r="9" spans="1:18" ht="44.25" customHeight="1" x14ac:dyDescent="0.25">
      <c r="A9" s="14" t="s">
        <v>19</v>
      </c>
      <c r="B9" s="16" t="s">
        <v>20</v>
      </c>
      <c r="C9" s="11" t="s">
        <v>16</v>
      </c>
      <c r="D9" s="11" t="s">
        <v>16</v>
      </c>
      <c r="E9" s="12">
        <f>[2]TDSheet!$K$154/1000</f>
        <v>49757.100100000003</v>
      </c>
      <c r="F9" s="11">
        <f>[9]TDSheet!$K$185/1000</f>
        <v>65890.706130000006</v>
      </c>
      <c r="G9" s="11" t="s">
        <v>16</v>
      </c>
      <c r="H9" s="11" t="s">
        <v>16</v>
      </c>
      <c r="I9" s="53" t="s">
        <v>16</v>
      </c>
      <c r="J9" s="53" t="s">
        <v>16</v>
      </c>
      <c r="K9" s="53" t="s">
        <v>16</v>
      </c>
      <c r="L9" s="56"/>
      <c r="M9" s="11" t="s">
        <v>16</v>
      </c>
      <c r="N9" s="11" t="s">
        <v>16</v>
      </c>
      <c r="O9" s="11" t="s">
        <v>16</v>
      </c>
      <c r="P9" s="11" t="s">
        <v>16</v>
      </c>
      <c r="Q9" s="40"/>
      <c r="R9" s="41"/>
    </row>
    <row r="10" spans="1:18" ht="15.75" x14ac:dyDescent="0.25">
      <c r="A10" s="14" t="s">
        <v>21</v>
      </c>
      <c r="B10" s="17" t="s">
        <v>22</v>
      </c>
      <c r="C10" s="11" t="s">
        <v>16</v>
      </c>
      <c r="D10" s="11" t="s">
        <v>16</v>
      </c>
      <c r="E10" s="12">
        <f>38801.66/1000</f>
        <v>38.801660000000005</v>
      </c>
      <c r="F10" s="58">
        <f>68826.77/1000</f>
        <v>68.82677000000001</v>
      </c>
      <c r="G10" s="11" t="s">
        <v>16</v>
      </c>
      <c r="H10" s="11" t="s">
        <v>16</v>
      </c>
      <c r="I10" s="53" t="s">
        <v>16</v>
      </c>
      <c r="J10" s="53" t="s">
        <v>16</v>
      </c>
      <c r="K10" s="53" t="s">
        <v>16</v>
      </c>
      <c r="L10" s="56"/>
      <c r="M10" s="11" t="s">
        <v>16</v>
      </c>
      <c r="N10" s="11" t="s">
        <v>16</v>
      </c>
      <c r="O10" s="11" t="s">
        <v>16</v>
      </c>
      <c r="P10" s="11" t="s">
        <v>16</v>
      </c>
      <c r="Q10" s="40"/>
      <c r="R10" s="41"/>
    </row>
    <row r="11" spans="1:18" ht="15.75" x14ac:dyDescent="0.25">
      <c r="A11" s="14">
        <v>2</v>
      </c>
      <c r="B11" s="18" t="s">
        <v>23</v>
      </c>
      <c r="C11" s="11">
        <f>'[6]01.01.2020'!$D$11</f>
        <v>5650.0309999999999</v>
      </c>
      <c r="D11" s="62">
        <f>[10]Свод!$H$7</f>
        <v>5699.9940000000006</v>
      </c>
      <c r="E11" s="11">
        <v>15925</v>
      </c>
      <c r="F11" s="58">
        <v>15959</v>
      </c>
      <c r="G11" s="11" t="s">
        <v>24</v>
      </c>
      <c r="H11" s="11" t="s">
        <v>24</v>
      </c>
      <c r="I11" s="53" t="s">
        <v>16</v>
      </c>
      <c r="J11" s="53" t="s">
        <v>16</v>
      </c>
      <c r="K11" s="12">
        <v>6.36</v>
      </c>
      <c r="L11" s="56">
        <v>6.36</v>
      </c>
      <c r="M11" s="11" t="s">
        <v>16</v>
      </c>
      <c r="N11" s="11" t="s">
        <v>16</v>
      </c>
      <c r="O11" s="11" t="s">
        <v>16</v>
      </c>
      <c r="P11" s="11" t="s">
        <v>16</v>
      </c>
      <c r="Q11" s="40"/>
      <c r="R11" s="40"/>
    </row>
    <row r="12" spans="1:18" ht="15.75" x14ac:dyDescent="0.25">
      <c r="A12" s="14">
        <f>A11+1</f>
        <v>3</v>
      </c>
      <c r="B12" s="18" t="s">
        <v>25</v>
      </c>
      <c r="C12" s="11">
        <f>'[6]01.01.2020'!$D$12</f>
        <v>673.89999999999964</v>
      </c>
      <c r="D12" s="62">
        <f>[10]Свод!$H$8</f>
        <v>651.89999999999986</v>
      </c>
      <c r="E12" s="11">
        <v>112</v>
      </c>
      <c r="F12" s="58">
        <v>98</v>
      </c>
      <c r="G12" s="11" t="s">
        <v>24</v>
      </c>
      <c r="H12" s="11" t="s">
        <v>24</v>
      </c>
      <c r="I12" s="53" t="s">
        <v>16</v>
      </c>
      <c r="J12" s="53" t="s">
        <v>16</v>
      </c>
      <c r="K12" s="12">
        <v>0</v>
      </c>
      <c r="L12" s="56">
        <v>0</v>
      </c>
      <c r="M12" s="11" t="s">
        <v>16</v>
      </c>
      <c r="N12" s="11" t="s">
        <v>16</v>
      </c>
      <c r="O12" s="11" t="s">
        <v>16</v>
      </c>
      <c r="P12" s="11" t="s">
        <v>16</v>
      </c>
      <c r="Q12" s="40"/>
      <c r="R12" s="40"/>
    </row>
    <row r="13" spans="1:18" ht="18" customHeight="1" x14ac:dyDescent="0.25">
      <c r="A13" s="14">
        <f t="shared" ref="A13:A14" si="0">A12+1</f>
        <v>4</v>
      </c>
      <c r="B13" s="18" t="s">
        <v>26</v>
      </c>
      <c r="C13" s="11">
        <f>'[6]01.01.2020'!$D$13</f>
        <v>20434.799999999988</v>
      </c>
      <c r="D13" s="62">
        <f>[10]Свод!$H$9</f>
        <v>16251.500000000002</v>
      </c>
      <c r="E13" s="11">
        <v>26253</v>
      </c>
      <c r="F13" s="58">
        <v>22282</v>
      </c>
      <c r="G13" s="11" t="s">
        <v>24</v>
      </c>
      <c r="H13" s="11" t="s">
        <v>24</v>
      </c>
      <c r="I13" s="53" t="s">
        <v>16</v>
      </c>
      <c r="J13" s="53" t="s">
        <v>16</v>
      </c>
      <c r="K13" s="12">
        <v>22.36</v>
      </c>
      <c r="L13" s="56">
        <v>30.17</v>
      </c>
      <c r="M13" s="11" t="s">
        <v>16</v>
      </c>
      <c r="N13" s="11" t="s">
        <v>16</v>
      </c>
      <c r="O13" s="11" t="s">
        <v>16</v>
      </c>
      <c r="P13" s="11" t="s">
        <v>16</v>
      </c>
      <c r="Q13" s="40"/>
      <c r="R13" s="40"/>
    </row>
    <row r="14" spans="1:18" ht="31.5" x14ac:dyDescent="0.25">
      <c r="A14" s="14">
        <f t="shared" si="0"/>
        <v>5</v>
      </c>
      <c r="B14" s="18" t="s">
        <v>27</v>
      </c>
      <c r="C14" s="11">
        <f>'[6]01.01.2020'!$D$14</f>
        <v>10040.79999999999</v>
      </c>
      <c r="D14" s="62">
        <f>[10]Свод!$H$10</f>
        <v>9522.7999999999993</v>
      </c>
      <c r="E14" s="11">
        <v>1130</v>
      </c>
      <c r="F14" s="58">
        <v>160</v>
      </c>
      <c r="G14" s="11" t="s">
        <v>24</v>
      </c>
      <c r="H14" s="11" t="s">
        <v>24</v>
      </c>
      <c r="I14" s="53" t="s">
        <v>16</v>
      </c>
      <c r="J14" s="53" t="s">
        <v>16</v>
      </c>
      <c r="K14" s="12">
        <v>0</v>
      </c>
      <c r="L14" s="56">
        <v>0</v>
      </c>
      <c r="M14" s="11" t="s">
        <v>16</v>
      </c>
      <c r="N14" s="11" t="s">
        <v>16</v>
      </c>
      <c r="O14" s="11" t="s">
        <v>16</v>
      </c>
      <c r="P14" s="11" t="s">
        <v>16</v>
      </c>
      <c r="Q14" s="40"/>
      <c r="R14" s="40"/>
    </row>
    <row r="15" spans="1:18" ht="15.75" x14ac:dyDescent="0.25">
      <c r="A15" s="14">
        <f>A14+1</f>
        <v>6</v>
      </c>
      <c r="B15" s="18" t="s">
        <v>28</v>
      </c>
      <c r="C15" s="11">
        <f>'[6]01.01.2020'!$D$15</f>
        <v>30846.32999999998</v>
      </c>
      <c r="D15" s="62">
        <f>[10]Свод!$H$11</f>
        <v>30846.329999999998</v>
      </c>
      <c r="E15" s="11">
        <v>46515</v>
      </c>
      <c r="F15" s="58">
        <v>46517</v>
      </c>
      <c r="G15" s="11" t="s">
        <v>29</v>
      </c>
      <c r="H15" s="11" t="s">
        <v>29</v>
      </c>
      <c r="I15" s="53" t="s">
        <v>16</v>
      </c>
      <c r="J15" s="53" t="s">
        <v>16</v>
      </c>
      <c r="K15" s="12">
        <v>209.4</v>
      </c>
      <c r="L15" s="56">
        <v>209.4</v>
      </c>
      <c r="M15" s="11" t="s">
        <v>16</v>
      </c>
      <c r="N15" s="11" t="s">
        <v>16</v>
      </c>
      <c r="O15" s="11" t="s">
        <v>16</v>
      </c>
      <c r="P15" s="11" t="s">
        <v>16</v>
      </c>
      <c r="Q15" s="40"/>
      <c r="R15" s="40"/>
    </row>
    <row r="16" spans="1:18" ht="17.25" customHeight="1" x14ac:dyDescent="0.25">
      <c r="A16" s="14">
        <f t="shared" ref="A16:A27" si="1">A15+1</f>
        <v>7</v>
      </c>
      <c r="B16" s="19" t="s">
        <v>30</v>
      </c>
      <c r="C16" s="11">
        <f>'[6]01.01.2020'!$D$16</f>
        <v>2252</v>
      </c>
      <c r="D16" s="62">
        <f>[10]Свод!$H$13</f>
        <v>2252</v>
      </c>
      <c r="E16" s="11" t="s">
        <v>31</v>
      </c>
      <c r="F16" s="53" t="s">
        <v>31</v>
      </c>
      <c r="G16" s="11" t="s">
        <v>32</v>
      </c>
      <c r="H16" s="11" t="s">
        <v>29</v>
      </c>
      <c r="I16" s="53" t="s">
        <v>16</v>
      </c>
      <c r="J16" s="53" t="s">
        <v>16</v>
      </c>
      <c r="K16" s="12" t="s">
        <v>29</v>
      </c>
      <c r="L16" s="56"/>
      <c r="M16" s="11" t="s">
        <v>16</v>
      </c>
      <c r="N16" s="11" t="s">
        <v>16</v>
      </c>
      <c r="O16" s="11" t="s">
        <v>16</v>
      </c>
      <c r="P16" s="11" t="s">
        <v>16</v>
      </c>
      <c r="Q16" s="40"/>
      <c r="R16" s="40"/>
    </row>
    <row r="17" spans="1:18" ht="15.75" x14ac:dyDescent="0.25">
      <c r="A17" s="14">
        <f t="shared" si="1"/>
        <v>8</v>
      </c>
      <c r="B17" s="18" t="s">
        <v>33</v>
      </c>
      <c r="C17" s="11">
        <f>'[6]01.01.2020'!$D$17</f>
        <v>61241.929999999978</v>
      </c>
      <c r="D17" s="63">
        <f>[10]Свод!$H$14</f>
        <v>62552.770000000004</v>
      </c>
      <c r="E17" s="11">
        <v>51560</v>
      </c>
      <c r="F17" s="58">
        <v>53050</v>
      </c>
      <c r="G17" s="11" t="s">
        <v>29</v>
      </c>
      <c r="H17" s="11" t="s">
        <v>29</v>
      </c>
      <c r="I17" s="53" t="s">
        <v>16</v>
      </c>
      <c r="J17" s="53" t="s">
        <v>16</v>
      </c>
      <c r="K17" s="12">
        <v>0</v>
      </c>
      <c r="L17" s="56">
        <v>6.81</v>
      </c>
      <c r="M17" s="11" t="s">
        <v>16</v>
      </c>
      <c r="N17" s="11" t="s">
        <v>16</v>
      </c>
      <c r="O17" s="11" t="s">
        <v>16</v>
      </c>
      <c r="P17" s="11" t="s">
        <v>16</v>
      </c>
      <c r="Q17" s="40"/>
      <c r="R17" s="40"/>
    </row>
    <row r="18" spans="1:18" ht="15.75" x14ac:dyDescent="0.25">
      <c r="A18" s="14">
        <f t="shared" si="1"/>
        <v>9</v>
      </c>
      <c r="B18" s="18" t="s">
        <v>34</v>
      </c>
      <c r="C18" s="11">
        <f>'[6]01.01.2020'!$D$18</f>
        <v>17219.333999999995</v>
      </c>
      <c r="D18" s="63">
        <f>[10]Свод!$H$15</f>
        <v>17219.334000000003</v>
      </c>
      <c r="E18" s="11">
        <v>8820</v>
      </c>
      <c r="F18" s="58">
        <v>8655</v>
      </c>
      <c r="G18" s="11" t="str">
        <f>'[4]01.01.2016'!H19</f>
        <v>-</v>
      </c>
      <c r="H18" s="11" t="s">
        <v>24</v>
      </c>
      <c r="I18" s="53" t="s">
        <v>16</v>
      </c>
      <c r="J18" s="53" t="s">
        <v>16</v>
      </c>
      <c r="K18" s="12">
        <v>0</v>
      </c>
      <c r="L18" s="56">
        <v>0</v>
      </c>
      <c r="M18" s="11" t="s">
        <v>16</v>
      </c>
      <c r="N18" s="11" t="s">
        <v>16</v>
      </c>
      <c r="O18" s="11" t="s">
        <v>16</v>
      </c>
      <c r="P18" s="11" t="s">
        <v>16</v>
      </c>
      <c r="Q18" s="40"/>
      <c r="R18" s="40"/>
    </row>
    <row r="19" spans="1:18" ht="15.75" x14ac:dyDescent="0.25">
      <c r="A19" s="14">
        <f t="shared" si="1"/>
        <v>10</v>
      </c>
      <c r="B19" s="18" t="s">
        <v>35</v>
      </c>
      <c r="C19" s="11">
        <f>'[6]01.01.2020'!$D$19</f>
        <v>9515.3999999999978</v>
      </c>
      <c r="D19" s="62">
        <f>[10]Свод!$H$16</f>
        <v>9405.7000000000007</v>
      </c>
      <c r="E19" s="11">
        <v>4883</v>
      </c>
      <c r="F19" s="58">
        <v>4716</v>
      </c>
      <c r="G19" s="11" t="s">
        <v>29</v>
      </c>
      <c r="H19" s="11" t="s">
        <v>29</v>
      </c>
      <c r="I19" s="53" t="s">
        <v>16</v>
      </c>
      <c r="J19" s="53" t="s">
        <v>16</v>
      </c>
      <c r="K19" s="12">
        <v>0</v>
      </c>
      <c r="L19" s="56">
        <v>0</v>
      </c>
      <c r="M19" s="11" t="s">
        <v>16</v>
      </c>
      <c r="N19" s="11" t="s">
        <v>16</v>
      </c>
      <c r="O19" s="11" t="s">
        <v>16</v>
      </c>
      <c r="P19" s="11" t="s">
        <v>16</v>
      </c>
      <c r="Q19" s="40"/>
      <c r="R19" s="40"/>
    </row>
    <row r="20" spans="1:18" ht="15.75" x14ac:dyDescent="0.25">
      <c r="A20" s="14">
        <f t="shared" si="1"/>
        <v>11</v>
      </c>
      <c r="B20" s="18" t="s">
        <v>36</v>
      </c>
      <c r="C20" s="11">
        <f>'[6]01.01.2020'!$D$20</f>
        <v>6023.6200000000044</v>
      </c>
      <c r="D20" s="62">
        <f>[10]Свод!$H$12</f>
        <v>6515.3199999999988</v>
      </c>
      <c r="E20" s="11">
        <v>163</v>
      </c>
      <c r="F20" s="58">
        <v>71</v>
      </c>
      <c r="G20" s="11" t="s">
        <v>29</v>
      </c>
      <c r="H20" s="11" t="s">
        <v>29</v>
      </c>
      <c r="I20" s="53" t="s">
        <v>16</v>
      </c>
      <c r="J20" s="53" t="s">
        <v>16</v>
      </c>
      <c r="K20" s="12">
        <v>0</v>
      </c>
      <c r="L20" s="56">
        <v>0</v>
      </c>
      <c r="M20" s="11" t="s">
        <v>16</v>
      </c>
      <c r="N20" s="11" t="s">
        <v>16</v>
      </c>
      <c r="O20" s="11" t="s">
        <v>16</v>
      </c>
      <c r="P20" s="11" t="s">
        <v>16</v>
      </c>
      <c r="Q20" s="40"/>
      <c r="R20" s="40"/>
    </row>
    <row r="21" spans="1:18" ht="15.75" x14ac:dyDescent="0.25">
      <c r="A21" s="14">
        <f t="shared" si="1"/>
        <v>12</v>
      </c>
      <c r="B21" s="18" t="s">
        <v>37</v>
      </c>
      <c r="C21" s="11">
        <f>'[6]01.01.2020'!$D$21</f>
        <v>5118.8900000000049</v>
      </c>
      <c r="D21" s="62">
        <f>[10]Свод!$H$17</f>
        <v>5842.5599999999995</v>
      </c>
      <c r="E21" s="11">
        <v>1582</v>
      </c>
      <c r="F21" s="58">
        <v>1362</v>
      </c>
      <c r="G21" s="11" t="s">
        <v>24</v>
      </c>
      <c r="H21" s="11" t="s">
        <v>24</v>
      </c>
      <c r="I21" s="53" t="s">
        <v>16</v>
      </c>
      <c r="J21" s="53" t="s">
        <v>16</v>
      </c>
      <c r="K21" s="12">
        <v>0</v>
      </c>
      <c r="L21" s="56">
        <v>0</v>
      </c>
      <c r="M21" s="11" t="s">
        <v>16</v>
      </c>
      <c r="N21" s="11" t="s">
        <v>16</v>
      </c>
      <c r="O21" s="11" t="s">
        <v>16</v>
      </c>
      <c r="P21" s="11" t="s">
        <v>16</v>
      </c>
      <c r="Q21" s="40"/>
      <c r="R21" s="40"/>
    </row>
    <row r="22" spans="1:18" ht="15.75" x14ac:dyDescent="0.25">
      <c r="A22" s="14">
        <f t="shared" si="1"/>
        <v>13</v>
      </c>
      <c r="B22" s="18" t="s">
        <v>38</v>
      </c>
      <c r="C22" s="11">
        <f>'[6]01.01.2020'!$D$22</f>
        <v>804.08999999999992</v>
      </c>
      <c r="D22" s="62">
        <f>[10]Свод!$H$18</f>
        <v>1262.44</v>
      </c>
      <c r="E22" s="11">
        <v>35</v>
      </c>
      <c r="F22" s="58">
        <v>19</v>
      </c>
      <c r="G22" s="11" t="s">
        <v>24</v>
      </c>
      <c r="H22" s="11" t="s">
        <v>24</v>
      </c>
      <c r="I22" s="53" t="s">
        <v>16</v>
      </c>
      <c r="J22" s="53" t="s">
        <v>16</v>
      </c>
      <c r="K22" s="12">
        <v>0</v>
      </c>
      <c r="L22" s="56">
        <v>0</v>
      </c>
      <c r="M22" s="11" t="s">
        <v>16</v>
      </c>
      <c r="N22" s="11" t="s">
        <v>16</v>
      </c>
      <c r="O22" s="11" t="s">
        <v>16</v>
      </c>
      <c r="P22" s="11" t="s">
        <v>16</v>
      </c>
      <c r="Q22" s="40"/>
      <c r="R22" s="40"/>
    </row>
    <row r="23" spans="1:18" ht="15.75" x14ac:dyDescent="0.25">
      <c r="A23" s="14">
        <f t="shared" si="1"/>
        <v>14</v>
      </c>
      <c r="B23" s="18" t="s">
        <v>39</v>
      </c>
      <c r="C23" s="11">
        <f>'[6]01.01.2020'!$D$23</f>
        <v>5355.3780000000006</v>
      </c>
      <c r="D23" s="62">
        <f>[10]Свод!$H$19</f>
        <v>6154.7580000000016</v>
      </c>
      <c r="E23" s="11">
        <v>827</v>
      </c>
      <c r="F23" s="58">
        <v>1373</v>
      </c>
      <c r="G23" s="11" t="s">
        <v>24</v>
      </c>
      <c r="H23" s="11" t="s">
        <v>24</v>
      </c>
      <c r="I23" s="53" t="s">
        <v>16</v>
      </c>
      <c r="J23" s="53" t="s">
        <v>16</v>
      </c>
      <c r="K23" s="12">
        <v>11.77</v>
      </c>
      <c r="L23" s="56">
        <v>1.04</v>
      </c>
      <c r="M23" s="11" t="s">
        <v>16</v>
      </c>
      <c r="N23" s="11" t="s">
        <v>16</v>
      </c>
      <c r="O23" s="11" t="s">
        <v>16</v>
      </c>
      <c r="P23" s="11" t="s">
        <v>16</v>
      </c>
      <c r="Q23" s="40"/>
      <c r="R23" s="40"/>
    </row>
    <row r="24" spans="1:18" ht="15.75" x14ac:dyDescent="0.25">
      <c r="A24" s="14">
        <f t="shared" si="1"/>
        <v>15</v>
      </c>
      <c r="B24" s="18" t="s">
        <v>40</v>
      </c>
      <c r="C24" s="11">
        <f>'[6]01.01.2020'!$D$24</f>
        <v>38062.04</v>
      </c>
      <c r="D24" s="62">
        <f>C24</f>
        <v>38062.04</v>
      </c>
      <c r="E24" s="11">
        <v>188372</v>
      </c>
      <c r="F24" s="58">
        <f>E24</f>
        <v>188372</v>
      </c>
      <c r="G24" s="11">
        <f>'[5]01.01.2018'!$H$23</f>
        <v>3575.81</v>
      </c>
      <c r="H24" s="11">
        <f>G24</f>
        <v>3575.81</v>
      </c>
      <c r="I24" s="53" t="s">
        <v>16</v>
      </c>
      <c r="J24" s="53" t="s">
        <v>16</v>
      </c>
      <c r="K24" s="12">
        <v>0</v>
      </c>
      <c r="L24" s="56">
        <v>0</v>
      </c>
      <c r="M24" s="11" t="s">
        <v>16</v>
      </c>
      <c r="N24" s="11" t="s">
        <v>16</v>
      </c>
      <c r="O24" s="11" t="s">
        <v>16</v>
      </c>
      <c r="P24" s="11" t="s">
        <v>16</v>
      </c>
      <c r="Q24" s="40"/>
      <c r="R24" s="40"/>
    </row>
    <row r="25" spans="1:18" ht="15.75" x14ac:dyDescent="0.25">
      <c r="A25" s="14">
        <f t="shared" si="1"/>
        <v>16</v>
      </c>
      <c r="B25" s="18" t="s">
        <v>41</v>
      </c>
      <c r="C25" s="11">
        <f>'[6]01.01.2020'!$D$25</f>
        <v>4156.6099999999997</v>
      </c>
      <c r="D25" s="63">
        <f>C25</f>
        <v>4156.6099999999997</v>
      </c>
      <c r="E25" s="11" t="s">
        <v>24</v>
      </c>
      <c r="F25" s="58"/>
      <c r="G25" s="11" t="str">
        <f>'[4]01.01.2016'!H24</f>
        <v>-</v>
      </c>
      <c r="H25" s="11" t="s">
        <v>24</v>
      </c>
      <c r="I25" s="53" t="s">
        <v>16</v>
      </c>
      <c r="J25" s="53" t="s">
        <v>16</v>
      </c>
      <c r="K25" s="53" t="s">
        <v>24</v>
      </c>
      <c r="L25" s="56" t="s">
        <v>29</v>
      </c>
      <c r="M25" s="11" t="s">
        <v>24</v>
      </c>
      <c r="N25" s="11" t="s">
        <v>24</v>
      </c>
      <c r="O25" s="11" t="s">
        <v>24</v>
      </c>
      <c r="P25" s="11" t="s">
        <v>24</v>
      </c>
      <c r="Q25" s="40"/>
      <c r="R25" s="61"/>
    </row>
    <row r="26" spans="1:18" ht="15.75" x14ac:dyDescent="0.25">
      <c r="A26" s="14">
        <f t="shared" si="1"/>
        <v>17</v>
      </c>
      <c r="B26" s="18" t="s">
        <v>42</v>
      </c>
      <c r="C26" s="11">
        <f>'[6]01.01.2020'!$D$26</f>
        <v>20182.28</v>
      </c>
      <c r="D26" s="63">
        <f>C26</f>
        <v>20182.28</v>
      </c>
      <c r="E26" s="11">
        <v>46797</v>
      </c>
      <c r="F26" s="58">
        <f>E26</f>
        <v>46797</v>
      </c>
      <c r="G26" s="11" t="str">
        <f>'[4]01.01.2016'!H18</f>
        <v>-</v>
      </c>
      <c r="H26" s="11" t="s">
        <v>24</v>
      </c>
      <c r="I26" s="53" t="s">
        <v>16</v>
      </c>
      <c r="J26" s="53" t="s">
        <v>16</v>
      </c>
      <c r="K26" s="12">
        <v>36.72</v>
      </c>
      <c r="L26" s="56">
        <v>36.72</v>
      </c>
      <c r="M26" s="11" t="s">
        <v>16</v>
      </c>
      <c r="N26" s="11" t="s">
        <v>16</v>
      </c>
      <c r="O26" s="11" t="s">
        <v>16</v>
      </c>
      <c r="P26" s="11" t="s">
        <v>16</v>
      </c>
      <c r="Q26" s="40"/>
      <c r="R26" s="40"/>
    </row>
    <row r="27" spans="1:18" ht="15.75" x14ac:dyDescent="0.25">
      <c r="A27" s="14">
        <f t="shared" si="1"/>
        <v>18</v>
      </c>
      <c r="B27" s="20" t="s">
        <v>43</v>
      </c>
      <c r="C27" s="21">
        <f>SUM(C11:C26)</f>
        <v>237577.43299999993</v>
      </c>
      <c r="D27" s="21">
        <f>SUM(D11:D26)</f>
        <v>236578.33600000001</v>
      </c>
      <c r="E27" s="21">
        <f>SUM(E11:E26)+E7</f>
        <v>446574.53191000002</v>
      </c>
      <c r="F27" s="21">
        <f>SUM(F11:F26)+F7</f>
        <v>460008.53318999999</v>
      </c>
      <c r="G27" s="21">
        <f>SUM(G7:G26)</f>
        <v>3575.81</v>
      </c>
      <c r="H27" s="21">
        <f>SUM(H7:H26)</f>
        <v>3575.81</v>
      </c>
      <c r="I27" s="21">
        <f>SUM(I7)</f>
        <v>19788.080000000002</v>
      </c>
      <c r="J27" s="21">
        <f>SUM(J7)</f>
        <v>20194.02</v>
      </c>
      <c r="K27" s="21">
        <f>SUM(K11:K26)</f>
        <v>286.61</v>
      </c>
      <c r="L27" s="21">
        <f>SUM(L11:L26)</f>
        <v>290.5</v>
      </c>
      <c r="M27" s="21">
        <f>SUM(M7:M25)</f>
        <v>2685.86</v>
      </c>
      <c r="N27" s="21">
        <f>SUM(N7:N25)</f>
        <v>2685.86</v>
      </c>
      <c r="O27" s="21">
        <f>SUM(O7:O25)</f>
        <v>15024.05</v>
      </c>
      <c r="P27" s="21">
        <f>SUM(P7:P25)</f>
        <v>17480.97</v>
      </c>
      <c r="Q27" s="40"/>
      <c r="R27" s="40"/>
    </row>
    <row r="28" spans="1:18" ht="15.75" x14ac:dyDescent="0.25">
      <c r="A28" s="22"/>
      <c r="B28" s="23"/>
      <c r="C28" s="24"/>
      <c r="D28" s="24"/>
      <c r="E28" s="24"/>
      <c r="F28" s="45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/>
      <c r="R28" s="25"/>
    </row>
    <row r="29" spans="1:18" ht="15.75" x14ac:dyDescent="0.25">
      <c r="A29" s="22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/>
    </row>
    <row r="30" spans="1:18" ht="15.75" x14ac:dyDescent="0.25">
      <c r="A30" s="22"/>
      <c r="B30" s="54" t="s">
        <v>44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8" ht="15.75" x14ac:dyDescent="0.25">
      <c r="A31" s="22"/>
      <c r="B31" s="2" t="s">
        <v>45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s="2" customFormat="1" ht="15.75" x14ac:dyDescent="0.25">
      <c r="A32" s="22"/>
      <c r="B32" s="2" t="s">
        <v>56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s="2" customFormat="1" ht="15.75" x14ac:dyDescent="0.25">
      <c r="A33" s="22"/>
      <c r="B33" s="55" t="s">
        <v>57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s="2" customFormat="1" ht="15.75" x14ac:dyDescent="0.25">
      <c r="A34" s="22"/>
      <c r="B34" s="2" t="s">
        <v>48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s="2" customFormat="1" ht="15.75" x14ac:dyDescent="0.25">
      <c r="A35" s="22"/>
      <c r="B35" s="2" t="s">
        <v>59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s="2" customFormat="1" ht="15.75" x14ac:dyDescent="0.25">
      <c r="A36" s="22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s="2" customFormat="1" ht="75" x14ac:dyDescent="0.25">
      <c r="A37" s="22"/>
      <c r="B37" s="27" t="s">
        <v>49</v>
      </c>
      <c r="C37" s="24"/>
      <c r="D37" s="28"/>
      <c r="E37" s="119"/>
      <c r="F37" s="119"/>
      <c r="G37" s="119"/>
      <c r="H37" s="119"/>
      <c r="I37" s="119"/>
      <c r="J37" s="119"/>
      <c r="K37" s="119"/>
      <c r="L37" s="119"/>
      <c r="M37" s="119"/>
      <c r="N37" s="24"/>
      <c r="O37" s="24"/>
      <c r="P37" s="24"/>
    </row>
    <row r="38" spans="1:16" s="2" customFormat="1" ht="15.75" x14ac:dyDescent="0.25">
      <c r="A38" s="22"/>
      <c r="B38" s="27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s="2" customFormat="1" ht="15.75" x14ac:dyDescent="0.25">
      <c r="A39" s="22"/>
      <c r="B39" s="29" t="s">
        <v>50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s="30" customFormat="1" x14ac:dyDescent="0.25">
      <c r="B40" s="31" t="s">
        <v>51</v>
      </c>
      <c r="C40" s="32"/>
      <c r="D40" s="32"/>
      <c r="E40" s="32"/>
      <c r="F40" s="32"/>
      <c r="G40" s="33"/>
      <c r="L40" s="34"/>
    </row>
    <row r="41" spans="1:16" x14ac:dyDescent="0.25">
      <c r="B41" s="35" t="s">
        <v>52</v>
      </c>
      <c r="D41" s="25"/>
      <c r="F41" s="25"/>
    </row>
    <row r="42" spans="1:16" x14ac:dyDescent="0.25">
      <c r="B42" s="36" t="s">
        <v>53</v>
      </c>
      <c r="F42" s="25"/>
    </row>
    <row r="43" spans="1:16" x14ac:dyDescent="0.25">
      <c r="B43" s="37" t="s">
        <v>54</v>
      </c>
    </row>
    <row r="45" spans="1:16" x14ac:dyDescent="0.25">
      <c r="F45" s="25"/>
    </row>
  </sheetData>
  <mergeCells count="17">
    <mergeCell ref="E37:M37"/>
    <mergeCell ref="O3:P3"/>
    <mergeCell ref="Q3:R3"/>
    <mergeCell ref="I4:J4"/>
    <mergeCell ref="K4:L4"/>
    <mergeCell ref="M4:N4"/>
    <mergeCell ref="O4:P4"/>
    <mergeCell ref="Q4:Q5"/>
    <mergeCell ref="R4:R5"/>
    <mergeCell ref="A1:N1"/>
    <mergeCell ref="A3:A5"/>
    <mergeCell ref="B3:B5"/>
    <mergeCell ref="C3:D4"/>
    <mergeCell ref="E3:F4"/>
    <mergeCell ref="G3:H4"/>
    <mergeCell ref="I3:L3"/>
    <mergeCell ref="M3:N3"/>
  </mergeCells>
  <hyperlinks>
    <hyperlink ref="B37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5"/>
  <sheetViews>
    <sheetView view="pageBreakPreview" zoomScaleNormal="100" zoomScaleSheetLayoutView="100" workbookViewId="0">
      <selection activeCell="R14" sqref="R14"/>
    </sheetView>
  </sheetViews>
  <sheetFormatPr defaultRowHeight="15" x14ac:dyDescent="0.25"/>
  <cols>
    <col min="1" max="1" width="7.42578125" style="2" customWidth="1"/>
    <col min="2" max="2" width="32.5703125" style="2" customWidth="1"/>
    <col min="3" max="3" width="12.7109375" style="2" customWidth="1"/>
    <col min="4" max="4" width="14" style="2" customWidth="1"/>
    <col min="5" max="5" width="14.5703125" style="2" customWidth="1"/>
    <col min="6" max="6" width="12.42578125" style="2" customWidth="1"/>
    <col min="7" max="7" width="14.42578125" style="2" customWidth="1"/>
    <col min="8" max="9" width="12.7109375" style="2" customWidth="1"/>
    <col min="10" max="13" width="11.7109375" style="2" customWidth="1"/>
    <col min="14" max="16" width="13.5703125" style="2" customWidth="1"/>
    <col min="17" max="17" width="14.85546875" style="2" customWidth="1"/>
    <col min="18" max="18" width="15" style="2" customWidth="1"/>
    <col min="19" max="16384" width="9.140625" style="2"/>
  </cols>
  <sheetData>
    <row r="1" spans="1:18" ht="30.75" customHeight="1" x14ac:dyDescent="0.25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64"/>
      <c r="P1" s="64"/>
    </row>
    <row r="2" spans="1:18" x14ac:dyDescent="0.25">
      <c r="O2" s="3"/>
      <c r="P2" s="3" t="s">
        <v>1</v>
      </c>
    </row>
    <row r="3" spans="1:18" ht="51" customHeight="1" x14ac:dyDescent="0.25">
      <c r="A3" s="111" t="s">
        <v>2</v>
      </c>
      <c r="B3" s="111" t="s">
        <v>3</v>
      </c>
      <c r="C3" s="112" t="s">
        <v>4</v>
      </c>
      <c r="D3" s="113"/>
      <c r="E3" s="112" t="s">
        <v>5</v>
      </c>
      <c r="F3" s="113"/>
      <c r="G3" s="112" t="s">
        <v>6</v>
      </c>
      <c r="H3" s="113"/>
      <c r="I3" s="116" t="s">
        <v>7</v>
      </c>
      <c r="J3" s="117"/>
      <c r="K3" s="117"/>
      <c r="L3" s="118"/>
      <c r="M3" s="111" t="s">
        <v>8</v>
      </c>
      <c r="N3" s="111"/>
      <c r="O3" s="111" t="s">
        <v>9</v>
      </c>
      <c r="P3" s="111"/>
      <c r="Q3" s="128"/>
      <c r="R3" s="128"/>
    </row>
    <row r="4" spans="1:18" ht="62.25" customHeight="1" x14ac:dyDescent="0.25">
      <c r="A4" s="111"/>
      <c r="B4" s="111"/>
      <c r="C4" s="114"/>
      <c r="D4" s="115"/>
      <c r="E4" s="114"/>
      <c r="F4" s="115"/>
      <c r="G4" s="114"/>
      <c r="H4" s="115"/>
      <c r="I4" s="116" t="s">
        <v>11</v>
      </c>
      <c r="J4" s="118"/>
      <c r="K4" s="116" t="s">
        <v>12</v>
      </c>
      <c r="L4" s="118"/>
      <c r="M4" s="111" t="s">
        <v>11</v>
      </c>
      <c r="N4" s="111"/>
      <c r="O4" s="111" t="s">
        <v>11</v>
      </c>
      <c r="P4" s="111"/>
      <c r="Q4" s="129"/>
      <c r="R4" s="130"/>
    </row>
    <row r="5" spans="1:18" ht="15" customHeight="1" x14ac:dyDescent="0.25">
      <c r="A5" s="111"/>
      <c r="B5" s="111"/>
      <c r="C5" s="77" t="s">
        <v>55</v>
      </c>
      <c r="D5" s="6">
        <v>43952</v>
      </c>
      <c r="E5" s="77" t="str">
        <f>C5</f>
        <v xml:space="preserve"> 01.01.2020</v>
      </c>
      <c r="F5" s="6">
        <f>D5</f>
        <v>43952</v>
      </c>
      <c r="G5" s="77" t="str">
        <f>C5</f>
        <v xml:space="preserve"> 01.01.2020</v>
      </c>
      <c r="H5" s="6">
        <f>D5</f>
        <v>43952</v>
      </c>
      <c r="I5" s="6" t="str">
        <f>C5</f>
        <v xml:space="preserve"> 01.01.2020</v>
      </c>
      <c r="J5" s="6">
        <f>D5</f>
        <v>43952</v>
      </c>
      <c r="K5" s="6" t="str">
        <f>C5</f>
        <v xml:space="preserve"> 01.01.2020</v>
      </c>
      <c r="L5" s="6">
        <f>D5</f>
        <v>43952</v>
      </c>
      <c r="M5" s="77" t="str">
        <f>C5</f>
        <v xml:space="preserve"> 01.01.2020</v>
      </c>
      <c r="N5" s="6">
        <f>D5</f>
        <v>43952</v>
      </c>
      <c r="O5" s="77" t="str">
        <f>E5</f>
        <v xml:space="preserve"> 01.01.2020</v>
      </c>
      <c r="P5" s="6">
        <f>F5</f>
        <v>43952</v>
      </c>
      <c r="Q5" s="129"/>
      <c r="R5" s="129"/>
    </row>
    <row r="6" spans="1:18" ht="15.75" customHeight="1" x14ac:dyDescent="0.25">
      <c r="A6" s="65">
        <v>1</v>
      </c>
      <c r="B6" s="65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">
        <v>9</v>
      </c>
      <c r="J6" s="7">
        <v>10</v>
      </c>
      <c r="K6" s="7">
        <v>11</v>
      </c>
      <c r="L6" s="77">
        <v>12</v>
      </c>
      <c r="M6" s="77">
        <v>13</v>
      </c>
      <c r="N6" s="77">
        <v>14</v>
      </c>
      <c r="O6" s="77">
        <v>15</v>
      </c>
      <c r="P6" s="77">
        <v>16</v>
      </c>
      <c r="Q6" s="22"/>
      <c r="R6" s="22"/>
    </row>
    <row r="7" spans="1:18" ht="15.75" x14ac:dyDescent="0.25">
      <c r="A7" s="9">
        <v>1</v>
      </c>
      <c r="B7" s="10" t="s">
        <v>15</v>
      </c>
      <c r="C7" s="11" t="s">
        <v>16</v>
      </c>
      <c r="D7" s="11" t="s">
        <v>16</v>
      </c>
      <c r="E7" s="11">
        <f>E8+E10+E9</f>
        <v>53600.531910000005</v>
      </c>
      <c r="F7" s="11">
        <f>F8+F10+F9</f>
        <v>72781.310010000001</v>
      </c>
      <c r="G7" s="11" t="s">
        <v>16</v>
      </c>
      <c r="H7" s="11" t="s">
        <v>16</v>
      </c>
      <c r="I7" s="12">
        <v>19788.080000000002</v>
      </c>
      <c r="J7" s="66">
        <v>20198.400000000001</v>
      </c>
      <c r="K7" s="53" t="s">
        <v>16</v>
      </c>
      <c r="L7" s="53"/>
      <c r="M7" s="12">
        <f>'[1]01.05.2018'!N7</f>
        <v>2685.86</v>
      </c>
      <c r="N7" s="46">
        <f>M7</f>
        <v>2685.86</v>
      </c>
      <c r="O7" s="12">
        <v>15024.05</v>
      </c>
      <c r="P7" s="58">
        <v>18306.03</v>
      </c>
      <c r="Q7" s="67"/>
      <c r="R7" s="67"/>
    </row>
    <row r="8" spans="1:18" ht="17.25" customHeight="1" x14ac:dyDescent="0.25">
      <c r="A8" s="14" t="s">
        <v>17</v>
      </c>
      <c r="B8" s="15" t="s">
        <v>18</v>
      </c>
      <c r="C8" s="11" t="s">
        <v>16</v>
      </c>
      <c r="D8" s="11" t="s">
        <v>16</v>
      </c>
      <c r="E8" s="12">
        <f>3804630.15/1000</f>
        <v>3804.63015</v>
      </c>
      <c r="F8" s="58">
        <f>4612280.65/1000</f>
        <v>4612.2806500000006</v>
      </c>
      <c r="G8" s="11" t="s">
        <v>16</v>
      </c>
      <c r="H8" s="11" t="s">
        <v>16</v>
      </c>
      <c r="I8" s="53" t="s">
        <v>16</v>
      </c>
      <c r="J8" s="53" t="s">
        <v>16</v>
      </c>
      <c r="K8" s="53" t="s">
        <v>16</v>
      </c>
      <c r="L8" s="53"/>
      <c r="M8" s="11" t="s">
        <v>16</v>
      </c>
      <c r="N8" s="11" t="s">
        <v>16</v>
      </c>
      <c r="O8" s="11" t="s">
        <v>16</v>
      </c>
      <c r="P8" s="11" t="s">
        <v>16</v>
      </c>
      <c r="Q8" s="67"/>
      <c r="R8" s="41"/>
    </row>
    <row r="9" spans="1:18" ht="44.25" customHeight="1" x14ac:dyDescent="0.25">
      <c r="A9" s="14" t="s">
        <v>19</v>
      </c>
      <c r="B9" s="16" t="s">
        <v>20</v>
      </c>
      <c r="C9" s="11" t="s">
        <v>16</v>
      </c>
      <c r="D9" s="11" t="s">
        <v>16</v>
      </c>
      <c r="E9" s="12">
        <f>[2]TDSheet!$K$154/1000</f>
        <v>49757.100100000003</v>
      </c>
      <c r="F9" s="11">
        <f>[11]TDSheet!$I$191/1000</f>
        <v>68096.273579999994</v>
      </c>
      <c r="G9" s="11" t="s">
        <v>16</v>
      </c>
      <c r="H9" s="11" t="s">
        <v>16</v>
      </c>
      <c r="I9" s="53" t="s">
        <v>16</v>
      </c>
      <c r="J9" s="53" t="s">
        <v>16</v>
      </c>
      <c r="K9" s="53" t="s">
        <v>16</v>
      </c>
      <c r="L9" s="53"/>
      <c r="M9" s="11" t="s">
        <v>16</v>
      </c>
      <c r="N9" s="11" t="s">
        <v>16</v>
      </c>
      <c r="O9" s="11" t="s">
        <v>16</v>
      </c>
      <c r="P9" s="11" t="s">
        <v>16</v>
      </c>
      <c r="Q9" s="67"/>
      <c r="R9" s="41"/>
    </row>
    <row r="10" spans="1:18" ht="15.75" x14ac:dyDescent="0.25">
      <c r="A10" s="14" t="s">
        <v>21</v>
      </c>
      <c r="B10" s="17" t="s">
        <v>22</v>
      </c>
      <c r="C10" s="11" t="s">
        <v>16</v>
      </c>
      <c r="D10" s="11" t="s">
        <v>16</v>
      </c>
      <c r="E10" s="12">
        <f>38801.66/1000</f>
        <v>38.801660000000005</v>
      </c>
      <c r="F10" s="58">
        <f>72755.78/1000</f>
        <v>72.755780000000001</v>
      </c>
      <c r="G10" s="11" t="s">
        <v>16</v>
      </c>
      <c r="H10" s="11" t="s">
        <v>16</v>
      </c>
      <c r="I10" s="53" t="s">
        <v>16</v>
      </c>
      <c r="J10" s="53" t="s">
        <v>16</v>
      </c>
      <c r="K10" s="53" t="s">
        <v>16</v>
      </c>
      <c r="L10" s="53"/>
      <c r="M10" s="11" t="s">
        <v>16</v>
      </c>
      <c r="N10" s="11" t="s">
        <v>16</v>
      </c>
      <c r="O10" s="11" t="s">
        <v>16</v>
      </c>
      <c r="P10" s="11" t="s">
        <v>16</v>
      </c>
      <c r="Q10" s="67"/>
      <c r="R10" s="41"/>
    </row>
    <row r="11" spans="1:18" ht="15.75" x14ac:dyDescent="0.25">
      <c r="A11" s="14">
        <v>2</v>
      </c>
      <c r="B11" s="18" t="s">
        <v>23</v>
      </c>
      <c r="C11" s="11">
        <v>5650.03</v>
      </c>
      <c r="D11" s="11">
        <f>[12]Свод!$I$7</f>
        <v>5713.5599999999995</v>
      </c>
      <c r="E11" s="11">
        <v>15925</v>
      </c>
      <c r="F11" s="58">
        <v>15968</v>
      </c>
      <c r="G11" s="11" t="s">
        <v>24</v>
      </c>
      <c r="H11" s="11" t="s">
        <v>24</v>
      </c>
      <c r="I11" s="53" t="s">
        <v>16</v>
      </c>
      <c r="J11" s="53" t="s">
        <v>16</v>
      </c>
      <c r="K11" s="12">
        <v>6.36</v>
      </c>
      <c r="L11" s="53">
        <v>0</v>
      </c>
      <c r="M11" s="11" t="s">
        <v>16</v>
      </c>
      <c r="N11" s="11" t="s">
        <v>16</v>
      </c>
      <c r="O11" s="11" t="s">
        <v>16</v>
      </c>
      <c r="P11" s="11" t="s">
        <v>16</v>
      </c>
      <c r="Q11" s="67"/>
      <c r="R11" s="67"/>
    </row>
    <row r="12" spans="1:18" ht="15.75" x14ac:dyDescent="0.25">
      <c r="A12" s="14">
        <f>A11+1</f>
        <v>3</v>
      </c>
      <c r="B12" s="18" t="s">
        <v>25</v>
      </c>
      <c r="C12" s="11">
        <f>'[6]01.01.2020'!$D$12</f>
        <v>673.89999999999964</v>
      </c>
      <c r="D12" s="11">
        <f>[12]Свод!$I$8</f>
        <v>742</v>
      </c>
      <c r="E12" s="11">
        <v>112</v>
      </c>
      <c r="F12" s="58">
        <v>106</v>
      </c>
      <c r="G12" s="11" t="s">
        <v>24</v>
      </c>
      <c r="H12" s="11" t="s">
        <v>24</v>
      </c>
      <c r="I12" s="53" t="s">
        <v>16</v>
      </c>
      <c r="J12" s="53" t="s">
        <v>16</v>
      </c>
      <c r="K12" s="12">
        <v>0</v>
      </c>
      <c r="L12" s="53">
        <v>0</v>
      </c>
      <c r="M12" s="11" t="s">
        <v>16</v>
      </c>
      <c r="N12" s="11" t="s">
        <v>16</v>
      </c>
      <c r="O12" s="11" t="s">
        <v>16</v>
      </c>
      <c r="P12" s="11" t="s">
        <v>16</v>
      </c>
      <c r="Q12" s="67"/>
      <c r="R12" s="67"/>
    </row>
    <row r="13" spans="1:18" ht="18" customHeight="1" x14ac:dyDescent="0.25">
      <c r="A13" s="14">
        <f t="shared" ref="A13:A14" si="0">A12+1</f>
        <v>4</v>
      </c>
      <c r="B13" s="18" t="s">
        <v>26</v>
      </c>
      <c r="C13" s="11">
        <f>'[6]01.01.2020'!$D$13</f>
        <v>20434.799999999988</v>
      </c>
      <c r="D13" s="11">
        <f>[12]Свод!$I$9</f>
        <v>16486.100000000002</v>
      </c>
      <c r="E13" s="11">
        <v>26253</v>
      </c>
      <c r="F13" s="58">
        <v>21711</v>
      </c>
      <c r="G13" s="11" t="s">
        <v>24</v>
      </c>
      <c r="H13" s="11" t="s">
        <v>24</v>
      </c>
      <c r="I13" s="53" t="s">
        <v>16</v>
      </c>
      <c r="J13" s="53" t="s">
        <v>16</v>
      </c>
      <c r="K13" s="12">
        <v>22.36</v>
      </c>
      <c r="L13" s="53">
        <v>28.61</v>
      </c>
      <c r="M13" s="11" t="s">
        <v>16</v>
      </c>
      <c r="N13" s="11" t="s">
        <v>16</v>
      </c>
      <c r="O13" s="11" t="s">
        <v>16</v>
      </c>
      <c r="P13" s="11" t="s">
        <v>16</v>
      </c>
      <c r="Q13" s="67"/>
      <c r="R13" s="67"/>
    </row>
    <row r="14" spans="1:18" ht="31.5" x14ac:dyDescent="0.25">
      <c r="A14" s="14">
        <f t="shared" si="0"/>
        <v>5</v>
      </c>
      <c r="B14" s="18" t="s">
        <v>27</v>
      </c>
      <c r="C14" s="11">
        <f>'[6]01.01.2020'!$D$14</f>
        <v>10040.79999999999</v>
      </c>
      <c r="D14" s="11">
        <f>[12]Свод!$I$10</f>
        <v>9877.1</v>
      </c>
      <c r="E14" s="11">
        <v>1130</v>
      </c>
      <c r="F14" s="58">
        <v>122</v>
      </c>
      <c r="G14" s="11" t="s">
        <v>24</v>
      </c>
      <c r="H14" s="11" t="s">
        <v>24</v>
      </c>
      <c r="I14" s="53" t="s">
        <v>16</v>
      </c>
      <c r="J14" s="53" t="s">
        <v>16</v>
      </c>
      <c r="K14" s="12">
        <v>0</v>
      </c>
      <c r="L14" s="53">
        <v>0</v>
      </c>
      <c r="M14" s="11" t="s">
        <v>16</v>
      </c>
      <c r="N14" s="11" t="s">
        <v>16</v>
      </c>
      <c r="O14" s="11" t="s">
        <v>16</v>
      </c>
      <c r="P14" s="11" t="s">
        <v>16</v>
      </c>
      <c r="Q14" s="67"/>
      <c r="R14" s="67"/>
    </row>
    <row r="15" spans="1:18" ht="15.75" x14ac:dyDescent="0.25">
      <c r="A15" s="14">
        <f>A14+1</f>
        <v>6</v>
      </c>
      <c r="B15" s="18" t="s">
        <v>28</v>
      </c>
      <c r="C15" s="11">
        <f>'[6]01.01.2020'!$D$15</f>
        <v>30846.32999999998</v>
      </c>
      <c r="D15" s="11">
        <f>[12]Свод!$I$11</f>
        <v>30846.329999999998</v>
      </c>
      <c r="E15" s="11">
        <v>46515</v>
      </c>
      <c r="F15" s="58">
        <v>46517</v>
      </c>
      <c r="G15" s="11" t="s">
        <v>29</v>
      </c>
      <c r="H15" s="11" t="s">
        <v>29</v>
      </c>
      <c r="I15" s="53" t="s">
        <v>16</v>
      </c>
      <c r="J15" s="53" t="s">
        <v>16</v>
      </c>
      <c r="K15" s="12">
        <v>209.4</v>
      </c>
      <c r="L15" s="53">
        <v>209.4</v>
      </c>
      <c r="M15" s="11" t="s">
        <v>16</v>
      </c>
      <c r="N15" s="11" t="s">
        <v>16</v>
      </c>
      <c r="O15" s="11" t="s">
        <v>16</v>
      </c>
      <c r="P15" s="11" t="s">
        <v>16</v>
      </c>
      <c r="Q15" s="67"/>
      <c r="R15" s="67"/>
    </row>
    <row r="16" spans="1:18" ht="17.25" customHeight="1" x14ac:dyDescent="0.25">
      <c r="A16" s="14">
        <f t="shared" ref="A16:A27" si="1">A15+1</f>
        <v>7</v>
      </c>
      <c r="B16" s="19" t="s">
        <v>30</v>
      </c>
      <c r="C16" s="11">
        <f>'[6]01.01.2020'!$D$16</f>
        <v>2252</v>
      </c>
      <c r="D16" s="11">
        <f>[12]Свод!$I$13</f>
        <v>2252</v>
      </c>
      <c r="E16" s="11" t="s">
        <v>31</v>
      </c>
      <c r="F16" s="53" t="s">
        <v>31</v>
      </c>
      <c r="G16" s="11" t="s">
        <v>32</v>
      </c>
      <c r="H16" s="11" t="s">
        <v>29</v>
      </c>
      <c r="I16" s="53" t="s">
        <v>16</v>
      </c>
      <c r="J16" s="53" t="s">
        <v>16</v>
      </c>
      <c r="K16" s="12" t="s">
        <v>29</v>
      </c>
      <c r="L16" s="53"/>
      <c r="M16" s="11" t="s">
        <v>16</v>
      </c>
      <c r="N16" s="11" t="s">
        <v>16</v>
      </c>
      <c r="O16" s="11" t="s">
        <v>16</v>
      </c>
      <c r="P16" s="11" t="s">
        <v>16</v>
      </c>
      <c r="Q16" s="67"/>
      <c r="R16" s="67"/>
    </row>
    <row r="17" spans="1:18" ht="15.75" x14ac:dyDescent="0.25">
      <c r="A17" s="14">
        <f t="shared" si="1"/>
        <v>8</v>
      </c>
      <c r="B17" s="18" t="s">
        <v>33</v>
      </c>
      <c r="C17" s="11">
        <f>'[6]01.01.2020'!$D$17</f>
        <v>61241.929999999978</v>
      </c>
      <c r="D17" s="12">
        <f>[12]Свод!$I$14</f>
        <v>63107.55</v>
      </c>
      <c r="E17" s="11">
        <v>51560</v>
      </c>
      <c r="F17" s="58">
        <v>53784</v>
      </c>
      <c r="G17" s="11" t="s">
        <v>29</v>
      </c>
      <c r="H17" s="11" t="s">
        <v>29</v>
      </c>
      <c r="I17" s="53" t="s">
        <v>16</v>
      </c>
      <c r="J17" s="53" t="s">
        <v>16</v>
      </c>
      <c r="K17" s="12">
        <v>0</v>
      </c>
      <c r="L17" s="53">
        <v>14.97</v>
      </c>
      <c r="M17" s="11" t="s">
        <v>16</v>
      </c>
      <c r="N17" s="11" t="s">
        <v>16</v>
      </c>
      <c r="O17" s="11" t="s">
        <v>16</v>
      </c>
      <c r="P17" s="11" t="s">
        <v>16</v>
      </c>
      <c r="Q17" s="67"/>
      <c r="R17" s="67"/>
    </row>
    <row r="18" spans="1:18" ht="15.75" x14ac:dyDescent="0.25">
      <c r="A18" s="14">
        <f t="shared" si="1"/>
        <v>9</v>
      </c>
      <c r="B18" s="18" t="s">
        <v>34</v>
      </c>
      <c r="C18" s="11">
        <v>17219.330000000002</v>
      </c>
      <c r="D18" s="12">
        <f>[12]Свод!$I$15</f>
        <v>17389.82</v>
      </c>
      <c r="E18" s="11">
        <v>8820</v>
      </c>
      <c r="F18" s="58">
        <v>8600</v>
      </c>
      <c r="G18" s="11" t="str">
        <f>'[4]01.01.2016'!H19</f>
        <v>-</v>
      </c>
      <c r="H18" s="11" t="s">
        <v>24</v>
      </c>
      <c r="I18" s="53" t="s">
        <v>16</v>
      </c>
      <c r="J18" s="53" t="s">
        <v>16</v>
      </c>
      <c r="K18" s="12">
        <v>0</v>
      </c>
      <c r="L18" s="53">
        <v>0</v>
      </c>
      <c r="M18" s="11" t="s">
        <v>16</v>
      </c>
      <c r="N18" s="11" t="s">
        <v>16</v>
      </c>
      <c r="O18" s="11" t="s">
        <v>16</v>
      </c>
      <c r="P18" s="11" t="s">
        <v>16</v>
      </c>
      <c r="Q18" s="67"/>
      <c r="R18" s="67"/>
    </row>
    <row r="19" spans="1:18" ht="15.75" x14ac:dyDescent="0.25">
      <c r="A19" s="14">
        <f t="shared" si="1"/>
        <v>10</v>
      </c>
      <c r="B19" s="18" t="s">
        <v>35</v>
      </c>
      <c r="C19" s="11">
        <f>'[6]01.01.2020'!$D$19</f>
        <v>9515.3999999999978</v>
      </c>
      <c r="D19" s="11">
        <f>[12]Свод!$I$16</f>
        <v>9403.2000000000007</v>
      </c>
      <c r="E19" s="11">
        <v>4883</v>
      </c>
      <c r="F19" s="58">
        <v>4580</v>
      </c>
      <c r="G19" s="11" t="s">
        <v>29</v>
      </c>
      <c r="H19" s="11" t="s">
        <v>29</v>
      </c>
      <c r="I19" s="53" t="s">
        <v>16</v>
      </c>
      <c r="J19" s="53" t="s">
        <v>16</v>
      </c>
      <c r="K19" s="12">
        <v>0</v>
      </c>
      <c r="L19" s="53">
        <v>0</v>
      </c>
      <c r="M19" s="11" t="s">
        <v>16</v>
      </c>
      <c r="N19" s="11" t="s">
        <v>16</v>
      </c>
      <c r="O19" s="11" t="s">
        <v>16</v>
      </c>
      <c r="P19" s="11" t="s">
        <v>16</v>
      </c>
      <c r="Q19" s="67"/>
      <c r="R19" s="67"/>
    </row>
    <row r="20" spans="1:18" ht="15.75" x14ac:dyDescent="0.25">
      <c r="A20" s="14">
        <f t="shared" si="1"/>
        <v>11</v>
      </c>
      <c r="B20" s="18" t="s">
        <v>36</v>
      </c>
      <c r="C20" s="11">
        <f>'[6]01.01.2020'!$D$20</f>
        <v>6023.6200000000044</v>
      </c>
      <c r="D20" s="11">
        <f>[12]Свод!$I$12</f>
        <v>6511.9199999999973</v>
      </c>
      <c r="E20" s="11">
        <v>163</v>
      </c>
      <c r="F20" s="58">
        <v>69</v>
      </c>
      <c r="G20" s="11" t="s">
        <v>29</v>
      </c>
      <c r="H20" s="11" t="s">
        <v>29</v>
      </c>
      <c r="I20" s="53" t="s">
        <v>16</v>
      </c>
      <c r="J20" s="53" t="s">
        <v>16</v>
      </c>
      <c r="K20" s="12">
        <v>0</v>
      </c>
      <c r="L20" s="53">
        <v>0</v>
      </c>
      <c r="M20" s="11" t="s">
        <v>16</v>
      </c>
      <c r="N20" s="11" t="s">
        <v>16</v>
      </c>
      <c r="O20" s="11" t="s">
        <v>16</v>
      </c>
      <c r="P20" s="11" t="s">
        <v>16</v>
      </c>
      <c r="Q20" s="67"/>
      <c r="R20" s="67"/>
    </row>
    <row r="21" spans="1:18" ht="15.75" x14ac:dyDescent="0.25">
      <c r="A21" s="14">
        <f t="shared" si="1"/>
        <v>12</v>
      </c>
      <c r="B21" s="18" t="s">
        <v>37</v>
      </c>
      <c r="C21" s="11">
        <f>'[6]01.01.2020'!$D$21</f>
        <v>5118.8900000000049</v>
      </c>
      <c r="D21" s="11">
        <f>[12]Свод!$I$17</f>
        <v>5999.9299999999985</v>
      </c>
      <c r="E21" s="11">
        <v>1582</v>
      </c>
      <c r="F21" s="58">
        <v>1437</v>
      </c>
      <c r="G21" s="11" t="s">
        <v>24</v>
      </c>
      <c r="H21" s="11" t="s">
        <v>24</v>
      </c>
      <c r="I21" s="53" t="s">
        <v>16</v>
      </c>
      <c r="J21" s="53" t="s">
        <v>16</v>
      </c>
      <c r="K21" s="12">
        <v>0</v>
      </c>
      <c r="L21" s="53">
        <v>0</v>
      </c>
      <c r="M21" s="11" t="s">
        <v>16</v>
      </c>
      <c r="N21" s="11" t="s">
        <v>16</v>
      </c>
      <c r="O21" s="11" t="s">
        <v>16</v>
      </c>
      <c r="P21" s="11" t="s">
        <v>16</v>
      </c>
      <c r="Q21" s="67"/>
      <c r="R21" s="67"/>
    </row>
    <row r="22" spans="1:18" ht="15.75" x14ac:dyDescent="0.25">
      <c r="A22" s="14">
        <f t="shared" si="1"/>
        <v>13</v>
      </c>
      <c r="B22" s="18" t="s">
        <v>38</v>
      </c>
      <c r="C22" s="11">
        <f>'[6]01.01.2020'!$D$22</f>
        <v>804.08999999999992</v>
      </c>
      <c r="D22" s="11">
        <f>[12]Свод!$I$18</f>
        <v>1514.5500000000002</v>
      </c>
      <c r="E22" s="11">
        <v>35</v>
      </c>
      <c r="F22" s="58">
        <v>18</v>
      </c>
      <c r="G22" s="11" t="s">
        <v>24</v>
      </c>
      <c r="H22" s="11" t="s">
        <v>24</v>
      </c>
      <c r="I22" s="53" t="s">
        <v>16</v>
      </c>
      <c r="J22" s="53" t="s">
        <v>16</v>
      </c>
      <c r="K22" s="12">
        <v>0</v>
      </c>
      <c r="L22" s="53">
        <v>0</v>
      </c>
      <c r="M22" s="11" t="s">
        <v>16</v>
      </c>
      <c r="N22" s="11" t="s">
        <v>16</v>
      </c>
      <c r="O22" s="11" t="s">
        <v>16</v>
      </c>
      <c r="P22" s="11" t="s">
        <v>16</v>
      </c>
      <c r="Q22" s="67"/>
      <c r="R22" s="67"/>
    </row>
    <row r="23" spans="1:18" ht="15.75" x14ac:dyDescent="0.25">
      <c r="A23" s="14">
        <f t="shared" si="1"/>
        <v>14</v>
      </c>
      <c r="B23" s="18" t="s">
        <v>39</v>
      </c>
      <c r="C23" s="11">
        <f>'[6]01.01.2020'!$D$23</f>
        <v>5355.3780000000006</v>
      </c>
      <c r="D23" s="11">
        <f>[12]Свод!$I$19</f>
        <v>6414.4580000000024</v>
      </c>
      <c r="E23" s="11">
        <v>827</v>
      </c>
      <c r="F23" s="58">
        <v>1565</v>
      </c>
      <c r="G23" s="11" t="s">
        <v>24</v>
      </c>
      <c r="H23" s="11" t="s">
        <v>24</v>
      </c>
      <c r="I23" s="53" t="s">
        <v>16</v>
      </c>
      <c r="J23" s="53" t="s">
        <v>16</v>
      </c>
      <c r="K23" s="12">
        <v>11.77</v>
      </c>
      <c r="L23" s="53">
        <v>1.82</v>
      </c>
      <c r="M23" s="11" t="s">
        <v>16</v>
      </c>
      <c r="N23" s="11" t="s">
        <v>16</v>
      </c>
      <c r="O23" s="11" t="s">
        <v>16</v>
      </c>
      <c r="P23" s="11" t="s">
        <v>16</v>
      </c>
      <c r="Q23" s="67"/>
      <c r="R23" s="67"/>
    </row>
    <row r="24" spans="1:18" ht="15.75" x14ac:dyDescent="0.25">
      <c r="A24" s="14">
        <f t="shared" si="1"/>
        <v>15</v>
      </c>
      <c r="B24" s="18" t="s">
        <v>40</v>
      </c>
      <c r="C24" s="11">
        <f>'[6]01.01.2020'!$D$24</f>
        <v>38062.04</v>
      </c>
      <c r="D24" s="11">
        <f>C24</f>
        <v>38062.04</v>
      </c>
      <c r="E24" s="11">
        <v>188372</v>
      </c>
      <c r="F24" s="58">
        <f>E24</f>
        <v>188372</v>
      </c>
      <c r="G24" s="11">
        <f>'[5]01.01.2018'!$H$23</f>
        <v>3575.81</v>
      </c>
      <c r="H24" s="11">
        <f>G24</f>
        <v>3575.81</v>
      </c>
      <c r="I24" s="53" t="s">
        <v>16</v>
      </c>
      <c r="J24" s="53" t="s">
        <v>16</v>
      </c>
      <c r="K24" s="12">
        <v>0</v>
      </c>
      <c r="L24" s="53">
        <v>0</v>
      </c>
      <c r="M24" s="11" t="s">
        <v>16</v>
      </c>
      <c r="N24" s="11" t="s">
        <v>16</v>
      </c>
      <c r="O24" s="11" t="s">
        <v>16</v>
      </c>
      <c r="P24" s="11" t="s">
        <v>16</v>
      </c>
      <c r="Q24" s="67"/>
      <c r="R24" s="67"/>
    </row>
    <row r="25" spans="1:18" ht="15.75" x14ac:dyDescent="0.25">
      <c r="A25" s="14">
        <f t="shared" si="1"/>
        <v>16</v>
      </c>
      <c r="B25" s="18" t="s">
        <v>41</v>
      </c>
      <c r="C25" s="11">
        <f>'[6]01.01.2020'!$D$25</f>
        <v>4156.6099999999997</v>
      </c>
      <c r="D25" s="12">
        <f>C25</f>
        <v>4156.6099999999997</v>
      </c>
      <c r="E25" s="11" t="s">
        <v>24</v>
      </c>
      <c r="F25" s="58"/>
      <c r="G25" s="11" t="str">
        <f>'[4]01.01.2016'!H24</f>
        <v>-</v>
      </c>
      <c r="H25" s="11" t="s">
        <v>24</v>
      </c>
      <c r="I25" s="53" t="s">
        <v>16</v>
      </c>
      <c r="J25" s="53" t="s">
        <v>16</v>
      </c>
      <c r="K25" s="53" t="s">
        <v>24</v>
      </c>
      <c r="L25" s="53" t="s">
        <v>29</v>
      </c>
      <c r="M25" s="11" t="s">
        <v>24</v>
      </c>
      <c r="N25" s="11" t="s">
        <v>24</v>
      </c>
      <c r="O25" s="11" t="s">
        <v>24</v>
      </c>
      <c r="P25" s="11" t="s">
        <v>24</v>
      </c>
      <c r="Q25" s="67"/>
      <c r="R25" s="22"/>
    </row>
    <row r="26" spans="1:18" ht="15.75" x14ac:dyDescent="0.25">
      <c r="A26" s="14">
        <f t="shared" si="1"/>
        <v>17</v>
      </c>
      <c r="B26" s="18" t="s">
        <v>42</v>
      </c>
      <c r="C26" s="11">
        <f>'[6]01.01.2020'!$D$26</f>
        <v>20182.28</v>
      </c>
      <c r="D26" s="12">
        <f>C26</f>
        <v>20182.28</v>
      </c>
      <c r="E26" s="11">
        <v>46797</v>
      </c>
      <c r="F26" s="58">
        <f>E26</f>
        <v>46797</v>
      </c>
      <c r="G26" s="11" t="str">
        <f>'[4]01.01.2016'!H18</f>
        <v>-</v>
      </c>
      <c r="H26" s="11" t="s">
        <v>24</v>
      </c>
      <c r="I26" s="53" t="s">
        <v>16</v>
      </c>
      <c r="J26" s="53" t="s">
        <v>16</v>
      </c>
      <c r="K26" s="12">
        <v>36.72</v>
      </c>
      <c r="L26" s="53">
        <v>36.72</v>
      </c>
      <c r="M26" s="11" t="s">
        <v>16</v>
      </c>
      <c r="N26" s="11" t="s">
        <v>16</v>
      </c>
      <c r="O26" s="11" t="s">
        <v>16</v>
      </c>
      <c r="P26" s="11" t="s">
        <v>16</v>
      </c>
      <c r="Q26" s="67"/>
      <c r="R26" s="67"/>
    </row>
    <row r="27" spans="1:18" ht="15.75" x14ac:dyDescent="0.25">
      <c r="A27" s="14">
        <f t="shared" si="1"/>
        <v>18</v>
      </c>
      <c r="B27" s="20" t="s">
        <v>43</v>
      </c>
      <c r="C27" s="21">
        <f>SUM(C11:C26)</f>
        <v>237577.42799999993</v>
      </c>
      <c r="D27" s="21">
        <f>SUM(D11:D26)</f>
        <v>238659.44799999997</v>
      </c>
      <c r="E27" s="21">
        <f>SUM(E11:E26)+E7</f>
        <v>446574.53191000002</v>
      </c>
      <c r="F27" s="21">
        <f>SUM(F11:F26)+F7</f>
        <v>462427.31001000002</v>
      </c>
      <c r="G27" s="21">
        <f>SUM(G7:G26)</f>
        <v>3575.81</v>
      </c>
      <c r="H27" s="21">
        <f>SUM(H7:H26)</f>
        <v>3575.81</v>
      </c>
      <c r="I27" s="21">
        <f>SUM(I7)</f>
        <v>19788.080000000002</v>
      </c>
      <c r="J27" s="21">
        <f>SUM(J7)</f>
        <v>20198.400000000001</v>
      </c>
      <c r="K27" s="21">
        <f>SUM(K11:K26)</f>
        <v>286.61</v>
      </c>
      <c r="L27" s="21">
        <f>SUM(L11:L26)</f>
        <v>291.52</v>
      </c>
      <c r="M27" s="21">
        <f>SUM(M7:M25)</f>
        <v>2685.86</v>
      </c>
      <c r="N27" s="21">
        <f>SUM(N7:N25)</f>
        <v>2685.86</v>
      </c>
      <c r="O27" s="21">
        <f>SUM(O7:O25)</f>
        <v>15024.05</v>
      </c>
      <c r="P27" s="21">
        <f>SUM(P7:P25)</f>
        <v>18306.03</v>
      </c>
      <c r="Q27" s="67"/>
      <c r="R27" s="67"/>
    </row>
    <row r="28" spans="1:18" ht="15.75" x14ac:dyDescent="0.25">
      <c r="A28" s="22"/>
      <c r="B28" s="23"/>
      <c r="C28" s="24"/>
      <c r="D28" s="24"/>
      <c r="E28" s="24"/>
      <c r="F28" s="45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45"/>
      <c r="R28" s="45"/>
    </row>
    <row r="29" spans="1:18" ht="15.75" x14ac:dyDescent="0.25">
      <c r="A29" s="22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45"/>
    </row>
    <row r="30" spans="1:18" ht="15.75" x14ac:dyDescent="0.25">
      <c r="A30" s="22"/>
      <c r="B30" s="54" t="s">
        <v>44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8" ht="15.75" x14ac:dyDescent="0.25">
      <c r="A31" s="22"/>
      <c r="B31" s="2" t="s">
        <v>45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ht="15.75" x14ac:dyDescent="0.25">
      <c r="A32" s="22"/>
      <c r="B32" s="2" t="s">
        <v>56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5.75" x14ac:dyDescent="0.25">
      <c r="A33" s="22"/>
      <c r="B33" s="55" t="s">
        <v>57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5.75" x14ac:dyDescent="0.25">
      <c r="A34" s="22"/>
      <c r="B34" s="2" t="s">
        <v>48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6.5" thickBot="1" x14ac:dyDescent="0.3">
      <c r="A35" s="22"/>
      <c r="B35" s="2" t="s">
        <v>62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6.5" thickBot="1" x14ac:dyDescent="0.3">
      <c r="A36" s="22"/>
      <c r="B36" s="135" t="s">
        <v>61</v>
      </c>
      <c r="C36" s="136"/>
      <c r="D36" s="136"/>
      <c r="E36" s="136"/>
      <c r="F36" s="136"/>
      <c r="G36" s="136"/>
      <c r="H36" s="137"/>
      <c r="I36" s="24"/>
      <c r="J36" s="24"/>
      <c r="K36" s="24"/>
      <c r="L36" s="24"/>
      <c r="M36" s="24"/>
      <c r="N36" s="24"/>
      <c r="O36" s="24"/>
      <c r="P36" s="24"/>
    </row>
    <row r="37" spans="1:16" ht="75.75" thickBot="1" x14ac:dyDescent="0.3">
      <c r="A37" s="22"/>
      <c r="B37" s="68" t="s">
        <v>49</v>
      </c>
      <c r="C37" s="24"/>
      <c r="D37" s="131" t="s">
        <v>60</v>
      </c>
      <c r="E37" s="132"/>
      <c r="F37" s="132"/>
      <c r="G37" s="132"/>
      <c r="H37" s="132"/>
      <c r="I37" s="133"/>
      <c r="J37" s="134"/>
      <c r="K37" s="76"/>
      <c r="L37" s="76"/>
      <c r="M37" s="76"/>
      <c r="N37" s="24"/>
      <c r="O37" s="24"/>
      <c r="P37" s="24"/>
    </row>
    <row r="38" spans="1:16" ht="15.75" x14ac:dyDescent="0.25">
      <c r="A38" s="22"/>
      <c r="B38" s="68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ht="15.75" x14ac:dyDescent="0.25">
      <c r="A39" s="22"/>
      <c r="B39" s="29" t="s">
        <v>50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s="69" customFormat="1" x14ac:dyDescent="0.25">
      <c r="B40" s="70" t="s">
        <v>51</v>
      </c>
      <c r="C40" s="71"/>
      <c r="D40" s="71"/>
      <c r="E40" s="71"/>
      <c r="F40" s="71"/>
      <c r="G40" s="72"/>
      <c r="L40" s="73"/>
    </row>
    <row r="41" spans="1:16" x14ac:dyDescent="0.25">
      <c r="B41" s="74" t="s">
        <v>52</v>
      </c>
      <c r="D41" s="45"/>
      <c r="F41" s="45"/>
    </row>
    <row r="42" spans="1:16" x14ac:dyDescent="0.25">
      <c r="B42" s="29" t="s">
        <v>53</v>
      </c>
      <c r="F42" s="45"/>
    </row>
    <row r="43" spans="1:16" x14ac:dyDescent="0.25">
      <c r="B43" s="75" t="s">
        <v>54</v>
      </c>
    </row>
    <row r="45" spans="1:16" x14ac:dyDescent="0.25">
      <c r="F45" s="45"/>
    </row>
  </sheetData>
  <mergeCells count="18">
    <mergeCell ref="D37:J37"/>
    <mergeCell ref="B36:H36"/>
    <mergeCell ref="A1:N1"/>
    <mergeCell ref="A3:A5"/>
    <mergeCell ref="B3:B5"/>
    <mergeCell ref="C3:D4"/>
    <mergeCell ref="E3:F4"/>
    <mergeCell ref="G3:H4"/>
    <mergeCell ref="I3:L3"/>
    <mergeCell ref="M3:N3"/>
    <mergeCell ref="O3:P3"/>
    <mergeCell ref="Q3:R3"/>
    <mergeCell ref="I4:J4"/>
    <mergeCell ref="K4:L4"/>
    <mergeCell ref="M4:N4"/>
    <mergeCell ref="O4:P4"/>
    <mergeCell ref="Q4:Q5"/>
    <mergeCell ref="R4:R5"/>
  </mergeCells>
  <hyperlinks>
    <hyperlink ref="B37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5"/>
  <sheetViews>
    <sheetView view="pageBreakPreview" zoomScaleNormal="100" zoomScaleSheetLayoutView="100" workbookViewId="0">
      <selection activeCell="L13" sqref="L13"/>
    </sheetView>
  </sheetViews>
  <sheetFormatPr defaultRowHeight="15" x14ac:dyDescent="0.25"/>
  <cols>
    <col min="1" max="1" width="7.42578125" style="2" customWidth="1"/>
    <col min="2" max="2" width="32.5703125" style="2" customWidth="1"/>
    <col min="3" max="3" width="12.7109375" style="2" customWidth="1"/>
    <col min="4" max="4" width="14" style="2" customWidth="1"/>
    <col min="5" max="5" width="14.5703125" style="2" customWidth="1"/>
    <col min="6" max="6" width="12.42578125" style="2" customWidth="1"/>
    <col min="7" max="7" width="14.42578125" style="2" customWidth="1"/>
    <col min="8" max="9" width="12.7109375" style="2" customWidth="1"/>
    <col min="10" max="13" width="11.7109375" style="2" customWidth="1"/>
    <col min="14" max="16" width="13.5703125" style="2" customWidth="1"/>
    <col min="17" max="17" width="14.85546875" style="2" customWidth="1"/>
    <col min="18" max="18" width="15" style="2" customWidth="1"/>
    <col min="19" max="16384" width="9.140625" style="2"/>
  </cols>
  <sheetData>
    <row r="1" spans="1:18" ht="30.75" customHeight="1" x14ac:dyDescent="0.25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80"/>
      <c r="P1" s="80"/>
    </row>
    <row r="2" spans="1:18" x14ac:dyDescent="0.25">
      <c r="O2" s="3"/>
      <c r="P2" s="3" t="s">
        <v>1</v>
      </c>
    </row>
    <row r="3" spans="1:18" ht="51" customHeight="1" x14ac:dyDescent="0.25">
      <c r="A3" s="111" t="s">
        <v>2</v>
      </c>
      <c r="B3" s="111" t="s">
        <v>3</v>
      </c>
      <c r="C3" s="112" t="s">
        <v>4</v>
      </c>
      <c r="D3" s="113"/>
      <c r="E3" s="112" t="s">
        <v>5</v>
      </c>
      <c r="F3" s="113"/>
      <c r="G3" s="112" t="s">
        <v>6</v>
      </c>
      <c r="H3" s="113"/>
      <c r="I3" s="116" t="s">
        <v>7</v>
      </c>
      <c r="J3" s="117"/>
      <c r="K3" s="117"/>
      <c r="L3" s="118"/>
      <c r="M3" s="111" t="s">
        <v>8</v>
      </c>
      <c r="N3" s="111"/>
      <c r="O3" s="111" t="s">
        <v>9</v>
      </c>
      <c r="P3" s="111"/>
      <c r="Q3" s="128"/>
      <c r="R3" s="128"/>
    </row>
    <row r="4" spans="1:18" ht="62.25" customHeight="1" x14ac:dyDescent="0.25">
      <c r="A4" s="111"/>
      <c r="B4" s="111"/>
      <c r="C4" s="114"/>
      <c r="D4" s="115"/>
      <c r="E4" s="114"/>
      <c r="F4" s="115"/>
      <c r="G4" s="114"/>
      <c r="H4" s="115"/>
      <c r="I4" s="116" t="s">
        <v>11</v>
      </c>
      <c r="J4" s="118"/>
      <c r="K4" s="116" t="s">
        <v>12</v>
      </c>
      <c r="L4" s="118"/>
      <c r="M4" s="111" t="s">
        <v>11</v>
      </c>
      <c r="N4" s="111"/>
      <c r="O4" s="111" t="s">
        <v>11</v>
      </c>
      <c r="P4" s="111"/>
      <c r="Q4" s="129"/>
      <c r="R4" s="130"/>
    </row>
    <row r="5" spans="1:18" ht="15" customHeight="1" x14ac:dyDescent="0.25">
      <c r="A5" s="111"/>
      <c r="B5" s="111"/>
      <c r="C5" s="79" t="s">
        <v>55</v>
      </c>
      <c r="D5" s="6">
        <v>43983</v>
      </c>
      <c r="E5" s="79" t="str">
        <f>C5</f>
        <v xml:space="preserve"> 01.01.2020</v>
      </c>
      <c r="F5" s="5">
        <f>D5</f>
        <v>43983</v>
      </c>
      <c r="G5" s="79" t="str">
        <f>C5</f>
        <v xml:space="preserve"> 01.01.2020</v>
      </c>
      <c r="H5" s="5">
        <f>D5</f>
        <v>43983</v>
      </c>
      <c r="I5" s="6" t="str">
        <f>C5</f>
        <v xml:space="preserve"> 01.01.2020</v>
      </c>
      <c r="J5" s="5">
        <f>D5</f>
        <v>43983</v>
      </c>
      <c r="K5" s="6" t="str">
        <f>C5</f>
        <v xml:space="preserve"> 01.01.2020</v>
      </c>
      <c r="L5" s="5">
        <f>D5</f>
        <v>43983</v>
      </c>
      <c r="M5" s="79" t="str">
        <f>C5</f>
        <v xml:space="preserve"> 01.01.2020</v>
      </c>
      <c r="N5" s="5">
        <f>D5</f>
        <v>43983</v>
      </c>
      <c r="O5" s="79" t="str">
        <f>E5</f>
        <v xml:space="preserve"> 01.01.2020</v>
      </c>
      <c r="P5" s="5">
        <f>F5</f>
        <v>43983</v>
      </c>
      <c r="Q5" s="129"/>
      <c r="R5" s="129"/>
    </row>
    <row r="6" spans="1:18" ht="15.75" customHeight="1" x14ac:dyDescent="0.25">
      <c r="A6" s="79">
        <v>1</v>
      </c>
      <c r="B6" s="79">
        <v>2</v>
      </c>
      <c r="C6" s="79">
        <v>3</v>
      </c>
      <c r="D6" s="79">
        <v>4</v>
      </c>
      <c r="E6" s="79">
        <v>5</v>
      </c>
      <c r="F6" s="79">
        <v>6</v>
      </c>
      <c r="G6" s="79">
        <v>7</v>
      </c>
      <c r="H6" s="79">
        <v>8</v>
      </c>
      <c r="I6" s="7">
        <v>9</v>
      </c>
      <c r="J6" s="7">
        <v>10</v>
      </c>
      <c r="K6" s="7">
        <v>11</v>
      </c>
      <c r="L6" s="79">
        <v>12</v>
      </c>
      <c r="M6" s="79">
        <v>13</v>
      </c>
      <c r="N6" s="79">
        <v>14</v>
      </c>
      <c r="O6" s="79">
        <v>15</v>
      </c>
      <c r="P6" s="79">
        <v>16</v>
      </c>
      <c r="Q6" s="81"/>
      <c r="R6" s="81"/>
    </row>
    <row r="7" spans="1:18" ht="15.75" x14ac:dyDescent="0.25">
      <c r="A7" s="9">
        <v>1</v>
      </c>
      <c r="B7" s="10" t="s">
        <v>15</v>
      </c>
      <c r="C7" s="11" t="s">
        <v>16</v>
      </c>
      <c r="D7" s="11" t="s">
        <v>16</v>
      </c>
      <c r="E7" s="11">
        <f>E8+E10+E9</f>
        <v>53600.531910000005</v>
      </c>
      <c r="F7" s="11">
        <f>F8+F10+F9</f>
        <v>73132.248009999996</v>
      </c>
      <c r="G7" s="11" t="s">
        <v>16</v>
      </c>
      <c r="H7" s="11" t="s">
        <v>16</v>
      </c>
      <c r="I7" s="12">
        <v>19788.080000000002</v>
      </c>
      <c r="J7" s="66">
        <v>20456.79</v>
      </c>
      <c r="K7" s="53" t="s">
        <v>16</v>
      </c>
      <c r="L7" s="53"/>
      <c r="M7" s="12">
        <f>'[1]01.05.2018'!N7</f>
        <v>2685.86</v>
      </c>
      <c r="N7" s="46">
        <f>M7</f>
        <v>2685.86</v>
      </c>
      <c r="O7" s="12">
        <v>15024.05</v>
      </c>
      <c r="P7" s="58">
        <v>18796.23</v>
      </c>
      <c r="Q7" s="67"/>
      <c r="R7" s="67"/>
    </row>
    <row r="8" spans="1:18" ht="17.25" customHeight="1" x14ac:dyDescent="0.25">
      <c r="A8" s="14" t="s">
        <v>17</v>
      </c>
      <c r="B8" s="15" t="s">
        <v>18</v>
      </c>
      <c r="C8" s="11" t="s">
        <v>16</v>
      </c>
      <c r="D8" s="11" t="s">
        <v>16</v>
      </c>
      <c r="E8" s="12">
        <f>3804630.15/1000</f>
        <v>3804.63015</v>
      </c>
      <c r="F8" s="58">
        <f>4623171.91/1000</f>
        <v>4623.17191</v>
      </c>
      <c r="G8" s="11" t="s">
        <v>16</v>
      </c>
      <c r="H8" s="11" t="s">
        <v>16</v>
      </c>
      <c r="I8" s="53" t="s">
        <v>16</v>
      </c>
      <c r="J8" s="53" t="s">
        <v>16</v>
      </c>
      <c r="K8" s="53" t="s">
        <v>16</v>
      </c>
      <c r="L8" s="53"/>
      <c r="M8" s="11" t="s">
        <v>16</v>
      </c>
      <c r="N8" s="11" t="s">
        <v>16</v>
      </c>
      <c r="O8" s="11" t="s">
        <v>16</v>
      </c>
      <c r="P8" s="11" t="s">
        <v>16</v>
      </c>
      <c r="Q8" s="67"/>
      <c r="R8" s="41"/>
    </row>
    <row r="9" spans="1:18" ht="44.25" customHeight="1" x14ac:dyDescent="0.25">
      <c r="A9" s="14" t="s">
        <v>19</v>
      </c>
      <c r="B9" s="16" t="s">
        <v>20</v>
      </c>
      <c r="C9" s="11" t="s">
        <v>16</v>
      </c>
      <c r="D9" s="11" t="s">
        <v>16</v>
      </c>
      <c r="E9" s="12">
        <f>[2]TDSheet!$K$154/1000</f>
        <v>49757.100100000003</v>
      </c>
      <c r="F9" s="11">
        <f>[13]TDSheet!$I$193/1000</f>
        <v>68437.826959999991</v>
      </c>
      <c r="G9" s="11" t="s">
        <v>16</v>
      </c>
      <c r="H9" s="11" t="s">
        <v>16</v>
      </c>
      <c r="I9" s="53" t="s">
        <v>16</v>
      </c>
      <c r="J9" s="53" t="s">
        <v>16</v>
      </c>
      <c r="K9" s="53" t="s">
        <v>16</v>
      </c>
      <c r="L9" s="53"/>
      <c r="M9" s="11" t="s">
        <v>16</v>
      </c>
      <c r="N9" s="11" t="s">
        <v>16</v>
      </c>
      <c r="O9" s="11" t="s">
        <v>16</v>
      </c>
      <c r="P9" s="11" t="s">
        <v>16</v>
      </c>
      <c r="Q9" s="67"/>
      <c r="R9" s="41"/>
    </row>
    <row r="10" spans="1:18" ht="15.75" x14ac:dyDescent="0.25">
      <c r="A10" s="14" t="s">
        <v>21</v>
      </c>
      <c r="B10" s="17" t="s">
        <v>22</v>
      </c>
      <c r="C10" s="11" t="s">
        <v>16</v>
      </c>
      <c r="D10" s="11" t="s">
        <v>16</v>
      </c>
      <c r="E10" s="12">
        <f>38801.66/1000</f>
        <v>38.801660000000005</v>
      </c>
      <c r="F10" s="58">
        <f>71249.14/1000</f>
        <v>71.249139999999997</v>
      </c>
      <c r="G10" s="11" t="s">
        <v>16</v>
      </c>
      <c r="H10" s="11" t="s">
        <v>16</v>
      </c>
      <c r="I10" s="53" t="s">
        <v>16</v>
      </c>
      <c r="J10" s="53" t="s">
        <v>16</v>
      </c>
      <c r="K10" s="53" t="s">
        <v>16</v>
      </c>
      <c r="L10" s="53"/>
      <c r="M10" s="11" t="s">
        <v>16</v>
      </c>
      <c r="N10" s="11" t="s">
        <v>16</v>
      </c>
      <c r="O10" s="11" t="s">
        <v>16</v>
      </c>
      <c r="P10" s="11" t="s">
        <v>16</v>
      </c>
      <c r="Q10" s="67"/>
      <c r="R10" s="41"/>
    </row>
    <row r="11" spans="1:18" ht="15.75" x14ac:dyDescent="0.25">
      <c r="A11" s="14">
        <v>2</v>
      </c>
      <c r="B11" s="18" t="s">
        <v>23</v>
      </c>
      <c r="C11" s="11">
        <v>5650.03</v>
      </c>
      <c r="D11" s="62">
        <f>[12]Свод!$J$7</f>
        <v>5525.65</v>
      </c>
      <c r="E11" s="11">
        <v>15925</v>
      </c>
      <c r="F11" s="58">
        <v>15946</v>
      </c>
      <c r="G11" s="11" t="s">
        <v>24</v>
      </c>
      <c r="H11" s="11" t="s">
        <v>24</v>
      </c>
      <c r="I11" s="53" t="s">
        <v>16</v>
      </c>
      <c r="J11" s="53" t="s">
        <v>16</v>
      </c>
      <c r="K11" s="12">
        <v>6.36</v>
      </c>
      <c r="L11" s="53">
        <v>0</v>
      </c>
      <c r="M11" s="11" t="s">
        <v>16</v>
      </c>
      <c r="N11" s="11" t="s">
        <v>16</v>
      </c>
      <c r="O11" s="11" t="s">
        <v>16</v>
      </c>
      <c r="P11" s="11" t="s">
        <v>16</v>
      </c>
      <c r="Q11" s="67"/>
      <c r="R11" s="67"/>
    </row>
    <row r="12" spans="1:18" ht="15.75" x14ac:dyDescent="0.25">
      <c r="A12" s="14">
        <f>A11+1</f>
        <v>3</v>
      </c>
      <c r="B12" s="18" t="s">
        <v>25</v>
      </c>
      <c r="C12" s="11">
        <f>'[6]01.01.2020'!$D$12</f>
        <v>673.89999999999964</v>
      </c>
      <c r="D12" s="62">
        <f>[12]Свод!$J$8</f>
        <v>792.10000000000036</v>
      </c>
      <c r="E12" s="11">
        <v>112</v>
      </c>
      <c r="F12" s="58">
        <v>90</v>
      </c>
      <c r="G12" s="11" t="s">
        <v>24</v>
      </c>
      <c r="H12" s="11" t="s">
        <v>24</v>
      </c>
      <c r="I12" s="53" t="s">
        <v>16</v>
      </c>
      <c r="J12" s="53" t="s">
        <v>16</v>
      </c>
      <c r="K12" s="12">
        <v>0</v>
      </c>
      <c r="L12" s="53">
        <v>0</v>
      </c>
      <c r="M12" s="11" t="s">
        <v>16</v>
      </c>
      <c r="N12" s="11" t="s">
        <v>16</v>
      </c>
      <c r="O12" s="11" t="s">
        <v>16</v>
      </c>
      <c r="P12" s="11" t="s">
        <v>16</v>
      </c>
      <c r="Q12" s="67"/>
      <c r="R12" s="67"/>
    </row>
    <row r="13" spans="1:18" ht="18" customHeight="1" x14ac:dyDescent="0.25">
      <c r="A13" s="14">
        <f t="shared" ref="A13:A14" si="0">A12+1</f>
        <v>4</v>
      </c>
      <c r="B13" s="18" t="s">
        <v>26</v>
      </c>
      <c r="C13" s="11">
        <f>'[6]01.01.2020'!$D$13</f>
        <v>20434.799999999988</v>
      </c>
      <c r="D13" s="62">
        <f>[12]Свод!$J$9</f>
        <v>16777.300000000003</v>
      </c>
      <c r="E13" s="11">
        <v>26253</v>
      </c>
      <c r="F13" s="58">
        <v>21205</v>
      </c>
      <c r="G13" s="11" t="s">
        <v>24</v>
      </c>
      <c r="H13" s="11" t="s">
        <v>24</v>
      </c>
      <c r="I13" s="53" t="s">
        <v>16</v>
      </c>
      <c r="J13" s="53" t="s">
        <v>16</v>
      </c>
      <c r="K13" s="12">
        <v>22.36</v>
      </c>
      <c r="L13" s="53">
        <v>22.97</v>
      </c>
      <c r="M13" s="11" t="s">
        <v>16</v>
      </c>
      <c r="N13" s="11" t="s">
        <v>16</v>
      </c>
      <c r="O13" s="11" t="s">
        <v>16</v>
      </c>
      <c r="P13" s="11" t="s">
        <v>16</v>
      </c>
      <c r="Q13" s="67"/>
      <c r="R13" s="67"/>
    </row>
    <row r="14" spans="1:18" ht="31.5" x14ac:dyDescent="0.25">
      <c r="A14" s="14">
        <f t="shared" si="0"/>
        <v>5</v>
      </c>
      <c r="B14" s="18" t="s">
        <v>27</v>
      </c>
      <c r="C14" s="11">
        <f>'[6]01.01.2020'!$D$14</f>
        <v>10040.79999999999</v>
      </c>
      <c r="D14" s="62">
        <f>[12]Свод!$J$10</f>
        <v>10238.300000000003</v>
      </c>
      <c r="E14" s="11">
        <v>1130</v>
      </c>
      <c r="F14" s="58">
        <v>107</v>
      </c>
      <c r="G14" s="11" t="s">
        <v>24</v>
      </c>
      <c r="H14" s="11" t="s">
        <v>24</v>
      </c>
      <c r="I14" s="53" t="s">
        <v>16</v>
      </c>
      <c r="J14" s="53" t="s">
        <v>16</v>
      </c>
      <c r="K14" s="12">
        <v>0</v>
      </c>
      <c r="L14" s="53">
        <v>0</v>
      </c>
      <c r="M14" s="11" t="s">
        <v>16</v>
      </c>
      <c r="N14" s="11" t="s">
        <v>16</v>
      </c>
      <c r="O14" s="11" t="s">
        <v>16</v>
      </c>
      <c r="P14" s="11" t="s">
        <v>16</v>
      </c>
      <c r="Q14" s="67"/>
      <c r="R14" s="67"/>
    </row>
    <row r="15" spans="1:18" ht="15.75" x14ac:dyDescent="0.25">
      <c r="A15" s="14">
        <f>A14+1</f>
        <v>6</v>
      </c>
      <c r="B15" s="18" t="s">
        <v>28</v>
      </c>
      <c r="C15" s="11">
        <f>'[6]01.01.2020'!$D$15</f>
        <v>30846.32999999998</v>
      </c>
      <c r="D15" s="62">
        <f>[12]Свод!$J$11</f>
        <v>30846.329999999998</v>
      </c>
      <c r="E15" s="11">
        <v>46515</v>
      </c>
      <c r="F15" s="58">
        <v>46517</v>
      </c>
      <c r="G15" s="11" t="s">
        <v>29</v>
      </c>
      <c r="H15" s="11" t="s">
        <v>29</v>
      </c>
      <c r="I15" s="53" t="s">
        <v>16</v>
      </c>
      <c r="J15" s="53" t="s">
        <v>16</v>
      </c>
      <c r="K15" s="12">
        <v>209.4</v>
      </c>
      <c r="L15" s="53">
        <v>209.4</v>
      </c>
      <c r="M15" s="11" t="s">
        <v>16</v>
      </c>
      <c r="N15" s="11" t="s">
        <v>16</v>
      </c>
      <c r="O15" s="11" t="s">
        <v>16</v>
      </c>
      <c r="P15" s="11" t="s">
        <v>16</v>
      </c>
      <c r="Q15" s="67"/>
      <c r="R15" s="67"/>
    </row>
    <row r="16" spans="1:18" ht="17.25" customHeight="1" x14ac:dyDescent="0.25">
      <c r="A16" s="14">
        <f t="shared" ref="A16:A27" si="1">A15+1</f>
        <v>7</v>
      </c>
      <c r="B16" s="19" t="s">
        <v>30</v>
      </c>
      <c r="C16" s="11">
        <f>'[6]01.01.2020'!$D$16</f>
        <v>2252</v>
      </c>
      <c r="D16" s="62">
        <f>[12]Свод!$J$13</f>
        <v>2252</v>
      </c>
      <c r="E16" s="11" t="s">
        <v>31</v>
      </c>
      <c r="F16" s="53" t="s">
        <v>31</v>
      </c>
      <c r="G16" s="11" t="s">
        <v>32</v>
      </c>
      <c r="H16" s="11" t="s">
        <v>29</v>
      </c>
      <c r="I16" s="53" t="s">
        <v>16</v>
      </c>
      <c r="J16" s="53" t="s">
        <v>16</v>
      </c>
      <c r="K16" s="12" t="s">
        <v>29</v>
      </c>
      <c r="L16" s="53"/>
      <c r="M16" s="11" t="s">
        <v>16</v>
      </c>
      <c r="N16" s="11" t="s">
        <v>16</v>
      </c>
      <c r="O16" s="11" t="s">
        <v>16</v>
      </c>
      <c r="P16" s="11" t="s">
        <v>16</v>
      </c>
      <c r="Q16" s="67"/>
      <c r="R16" s="67"/>
    </row>
    <row r="17" spans="1:18" ht="15.75" x14ac:dyDescent="0.25">
      <c r="A17" s="14">
        <f t="shared" si="1"/>
        <v>8</v>
      </c>
      <c r="B17" s="18" t="s">
        <v>33</v>
      </c>
      <c r="C17" s="11">
        <f>'[6]01.01.2020'!$D$17</f>
        <v>61241.929999999978</v>
      </c>
      <c r="D17" s="63">
        <f>[12]Свод!$J$14</f>
        <v>62967.039999999994</v>
      </c>
      <c r="E17" s="11">
        <v>51560</v>
      </c>
      <c r="F17" s="58">
        <v>54291</v>
      </c>
      <c r="G17" s="11" t="s">
        <v>29</v>
      </c>
      <c r="H17" s="11" t="s">
        <v>29</v>
      </c>
      <c r="I17" s="53" t="s">
        <v>16</v>
      </c>
      <c r="J17" s="53" t="s">
        <v>16</v>
      </c>
      <c r="K17" s="12">
        <v>0</v>
      </c>
      <c r="L17" s="53">
        <v>6.58</v>
      </c>
      <c r="M17" s="11" t="s">
        <v>16</v>
      </c>
      <c r="N17" s="11" t="s">
        <v>16</v>
      </c>
      <c r="O17" s="11" t="s">
        <v>16</v>
      </c>
      <c r="P17" s="11" t="s">
        <v>16</v>
      </c>
      <c r="Q17" s="67"/>
      <c r="R17" s="67"/>
    </row>
    <row r="18" spans="1:18" ht="15.75" x14ac:dyDescent="0.25">
      <c r="A18" s="14">
        <f t="shared" si="1"/>
        <v>9</v>
      </c>
      <c r="B18" s="18" t="s">
        <v>34</v>
      </c>
      <c r="C18" s="11">
        <v>17219.330000000002</v>
      </c>
      <c r="D18" s="63">
        <f>[12]Свод!$J$15</f>
        <v>17302.22</v>
      </c>
      <c r="E18" s="11">
        <v>8820</v>
      </c>
      <c r="F18" s="58">
        <v>8559</v>
      </c>
      <c r="G18" s="11" t="str">
        <f>'[4]01.01.2016'!H19</f>
        <v>-</v>
      </c>
      <c r="H18" s="11" t="s">
        <v>24</v>
      </c>
      <c r="I18" s="53" t="s">
        <v>16</v>
      </c>
      <c r="J18" s="53" t="s">
        <v>16</v>
      </c>
      <c r="K18" s="12">
        <v>0</v>
      </c>
      <c r="L18" s="53">
        <v>0</v>
      </c>
      <c r="M18" s="11" t="s">
        <v>16</v>
      </c>
      <c r="N18" s="11" t="s">
        <v>16</v>
      </c>
      <c r="O18" s="11" t="s">
        <v>16</v>
      </c>
      <c r="P18" s="11" t="s">
        <v>16</v>
      </c>
      <c r="Q18" s="67"/>
      <c r="R18" s="67"/>
    </row>
    <row r="19" spans="1:18" ht="15.75" x14ac:dyDescent="0.25">
      <c r="A19" s="14">
        <f t="shared" si="1"/>
        <v>10</v>
      </c>
      <c r="B19" s="18" t="s">
        <v>35</v>
      </c>
      <c r="C19" s="11">
        <f>'[6]01.01.2020'!$D$19</f>
        <v>9515.3999999999978</v>
      </c>
      <c r="D19" s="62">
        <f>[12]Свод!$J$16</f>
        <v>9574.7999999999993</v>
      </c>
      <c r="E19" s="11">
        <v>4883</v>
      </c>
      <c r="F19" s="58">
        <v>4656</v>
      </c>
      <c r="G19" s="11" t="s">
        <v>29</v>
      </c>
      <c r="H19" s="11" t="s">
        <v>29</v>
      </c>
      <c r="I19" s="53" t="s">
        <v>16</v>
      </c>
      <c r="J19" s="53" t="s">
        <v>16</v>
      </c>
      <c r="K19" s="12">
        <v>0</v>
      </c>
      <c r="L19" s="53">
        <v>0</v>
      </c>
      <c r="M19" s="11" t="s">
        <v>16</v>
      </c>
      <c r="N19" s="11" t="s">
        <v>16</v>
      </c>
      <c r="O19" s="11" t="s">
        <v>16</v>
      </c>
      <c r="P19" s="11" t="s">
        <v>16</v>
      </c>
      <c r="Q19" s="67"/>
      <c r="R19" s="67"/>
    </row>
    <row r="20" spans="1:18" ht="15.75" x14ac:dyDescent="0.25">
      <c r="A20" s="14">
        <f t="shared" si="1"/>
        <v>11</v>
      </c>
      <c r="B20" s="18" t="s">
        <v>36</v>
      </c>
      <c r="C20" s="11">
        <f>'[6]01.01.2020'!$D$20</f>
        <v>6023.6200000000044</v>
      </c>
      <c r="D20" s="62">
        <f>[12]Свод!$J$12</f>
        <v>6534.9199999999992</v>
      </c>
      <c r="E20" s="11">
        <v>163</v>
      </c>
      <c r="F20" s="58">
        <v>127</v>
      </c>
      <c r="G20" s="11" t="s">
        <v>29</v>
      </c>
      <c r="H20" s="11" t="s">
        <v>29</v>
      </c>
      <c r="I20" s="53" t="s">
        <v>16</v>
      </c>
      <c r="J20" s="53" t="s">
        <v>16</v>
      </c>
      <c r="K20" s="12">
        <v>0</v>
      </c>
      <c r="L20" s="53">
        <v>4.4000000000000004</v>
      </c>
      <c r="M20" s="11" t="s">
        <v>16</v>
      </c>
      <c r="N20" s="11" t="s">
        <v>16</v>
      </c>
      <c r="O20" s="11" t="s">
        <v>16</v>
      </c>
      <c r="P20" s="11" t="s">
        <v>16</v>
      </c>
      <c r="Q20" s="67"/>
      <c r="R20" s="67"/>
    </row>
    <row r="21" spans="1:18" ht="15.75" x14ac:dyDescent="0.25">
      <c r="A21" s="14">
        <f t="shared" si="1"/>
        <v>12</v>
      </c>
      <c r="B21" s="18" t="s">
        <v>37</v>
      </c>
      <c r="C21" s="11">
        <f>'[6]01.01.2020'!$D$21</f>
        <v>5118.8900000000049</v>
      </c>
      <c r="D21" s="62">
        <f>[12]Свод!$J$17</f>
        <v>6193.4599999999982</v>
      </c>
      <c r="E21" s="11">
        <v>1582</v>
      </c>
      <c r="F21" s="58">
        <v>1088</v>
      </c>
      <c r="G21" s="11" t="s">
        <v>24</v>
      </c>
      <c r="H21" s="11" t="s">
        <v>24</v>
      </c>
      <c r="I21" s="53" t="s">
        <v>16</v>
      </c>
      <c r="J21" s="53" t="s">
        <v>16</v>
      </c>
      <c r="K21" s="12">
        <v>0</v>
      </c>
      <c r="L21" s="53">
        <v>0</v>
      </c>
      <c r="M21" s="11" t="s">
        <v>16</v>
      </c>
      <c r="N21" s="11" t="s">
        <v>16</v>
      </c>
      <c r="O21" s="11" t="s">
        <v>16</v>
      </c>
      <c r="P21" s="11" t="s">
        <v>16</v>
      </c>
      <c r="Q21" s="67"/>
      <c r="R21" s="67"/>
    </row>
    <row r="22" spans="1:18" ht="15.75" x14ac:dyDescent="0.25">
      <c r="A22" s="14">
        <f t="shared" si="1"/>
        <v>13</v>
      </c>
      <c r="B22" s="18" t="s">
        <v>38</v>
      </c>
      <c r="C22" s="11">
        <f>'[6]01.01.2020'!$D$22</f>
        <v>804.08999999999992</v>
      </c>
      <c r="D22" s="62">
        <f>[12]Свод!$J$18</f>
        <v>1599.4299999999998</v>
      </c>
      <c r="E22" s="11">
        <v>35</v>
      </c>
      <c r="F22" s="58">
        <v>20</v>
      </c>
      <c r="G22" s="11" t="s">
        <v>24</v>
      </c>
      <c r="H22" s="11" t="s">
        <v>24</v>
      </c>
      <c r="I22" s="53" t="s">
        <v>16</v>
      </c>
      <c r="J22" s="53" t="s">
        <v>16</v>
      </c>
      <c r="K22" s="12">
        <v>0</v>
      </c>
      <c r="L22" s="53">
        <v>0</v>
      </c>
      <c r="M22" s="11" t="s">
        <v>16</v>
      </c>
      <c r="N22" s="11" t="s">
        <v>16</v>
      </c>
      <c r="O22" s="11" t="s">
        <v>16</v>
      </c>
      <c r="P22" s="11" t="s">
        <v>16</v>
      </c>
      <c r="Q22" s="67"/>
      <c r="R22" s="67"/>
    </row>
    <row r="23" spans="1:18" ht="15.75" x14ac:dyDescent="0.25">
      <c r="A23" s="14">
        <f t="shared" si="1"/>
        <v>14</v>
      </c>
      <c r="B23" s="18" t="s">
        <v>39</v>
      </c>
      <c r="C23" s="11">
        <f>'[6]01.01.2020'!$D$23</f>
        <v>5355.3780000000006</v>
      </c>
      <c r="D23" s="62">
        <f>[12]Свод!$J$19</f>
        <v>6852.228000000001</v>
      </c>
      <c r="E23" s="11">
        <v>827</v>
      </c>
      <c r="F23" s="58">
        <v>1943</v>
      </c>
      <c r="G23" s="11" t="s">
        <v>24</v>
      </c>
      <c r="H23" s="11" t="s">
        <v>24</v>
      </c>
      <c r="I23" s="53" t="s">
        <v>16</v>
      </c>
      <c r="J23" s="53" t="s">
        <v>16</v>
      </c>
      <c r="K23" s="12">
        <v>11.77</v>
      </c>
      <c r="L23" s="53">
        <v>1.82</v>
      </c>
      <c r="M23" s="11" t="s">
        <v>16</v>
      </c>
      <c r="N23" s="11" t="s">
        <v>16</v>
      </c>
      <c r="O23" s="11" t="s">
        <v>16</v>
      </c>
      <c r="P23" s="11" t="s">
        <v>16</v>
      </c>
      <c r="Q23" s="67"/>
      <c r="R23" s="67"/>
    </row>
    <row r="24" spans="1:18" ht="15.75" x14ac:dyDescent="0.25">
      <c r="A24" s="14">
        <f t="shared" si="1"/>
        <v>15</v>
      </c>
      <c r="B24" s="18" t="s">
        <v>40</v>
      </c>
      <c r="C24" s="11">
        <f>'[6]01.01.2020'!$D$24</f>
        <v>38062.04</v>
      </c>
      <c r="D24" s="62">
        <f>C24</f>
        <v>38062.04</v>
      </c>
      <c r="E24" s="11">
        <v>188372</v>
      </c>
      <c r="F24" s="58">
        <f>E24</f>
        <v>188372</v>
      </c>
      <c r="G24" s="11">
        <f>'[5]01.01.2018'!$H$23</f>
        <v>3575.81</v>
      </c>
      <c r="H24" s="11">
        <f>G24</f>
        <v>3575.81</v>
      </c>
      <c r="I24" s="53" t="s">
        <v>16</v>
      </c>
      <c r="J24" s="53" t="s">
        <v>16</v>
      </c>
      <c r="K24" s="12">
        <v>0</v>
      </c>
      <c r="L24" s="53">
        <v>0</v>
      </c>
      <c r="M24" s="11" t="s">
        <v>16</v>
      </c>
      <c r="N24" s="11" t="s">
        <v>16</v>
      </c>
      <c r="O24" s="11" t="s">
        <v>16</v>
      </c>
      <c r="P24" s="11" t="s">
        <v>16</v>
      </c>
      <c r="Q24" s="67"/>
      <c r="R24" s="67"/>
    </row>
    <row r="25" spans="1:18" ht="15.75" x14ac:dyDescent="0.25">
      <c r="A25" s="14">
        <f t="shared" si="1"/>
        <v>16</v>
      </c>
      <c r="B25" s="18" t="s">
        <v>41</v>
      </c>
      <c r="C25" s="11">
        <f>'[6]01.01.2020'!$D$25</f>
        <v>4156.6099999999997</v>
      </c>
      <c r="D25" s="63">
        <f>C25</f>
        <v>4156.6099999999997</v>
      </c>
      <c r="E25" s="11" t="s">
        <v>24</v>
      </c>
      <c r="F25" s="58"/>
      <c r="G25" s="11" t="str">
        <f>'[4]01.01.2016'!H24</f>
        <v>-</v>
      </c>
      <c r="H25" s="11" t="s">
        <v>24</v>
      </c>
      <c r="I25" s="53" t="s">
        <v>16</v>
      </c>
      <c r="J25" s="53" t="s">
        <v>16</v>
      </c>
      <c r="K25" s="53" t="s">
        <v>24</v>
      </c>
      <c r="L25" s="53" t="s">
        <v>29</v>
      </c>
      <c r="M25" s="11" t="s">
        <v>24</v>
      </c>
      <c r="N25" s="11" t="s">
        <v>24</v>
      </c>
      <c r="O25" s="11" t="s">
        <v>24</v>
      </c>
      <c r="P25" s="11" t="s">
        <v>24</v>
      </c>
      <c r="Q25" s="67"/>
      <c r="R25" s="81"/>
    </row>
    <row r="26" spans="1:18" ht="15.75" x14ac:dyDescent="0.25">
      <c r="A26" s="14">
        <f t="shared" si="1"/>
        <v>17</v>
      </c>
      <c r="B26" s="18" t="s">
        <v>42</v>
      </c>
      <c r="C26" s="11">
        <f>'[6]01.01.2020'!$D$26</f>
        <v>20182.28</v>
      </c>
      <c r="D26" s="63">
        <f>C26</f>
        <v>20182.28</v>
      </c>
      <c r="E26" s="11">
        <v>46797</v>
      </c>
      <c r="F26" s="58">
        <f>E26</f>
        <v>46797</v>
      </c>
      <c r="G26" s="11" t="str">
        <f>'[4]01.01.2016'!H18</f>
        <v>-</v>
      </c>
      <c r="H26" s="11" t="s">
        <v>24</v>
      </c>
      <c r="I26" s="53" t="s">
        <v>16</v>
      </c>
      <c r="J26" s="53" t="s">
        <v>16</v>
      </c>
      <c r="K26" s="12">
        <v>36.72</v>
      </c>
      <c r="L26" s="53">
        <v>36.72</v>
      </c>
      <c r="M26" s="11" t="s">
        <v>16</v>
      </c>
      <c r="N26" s="11" t="s">
        <v>16</v>
      </c>
      <c r="O26" s="11" t="s">
        <v>16</v>
      </c>
      <c r="P26" s="11" t="s">
        <v>16</v>
      </c>
      <c r="Q26" s="67"/>
      <c r="R26" s="67"/>
    </row>
    <row r="27" spans="1:18" ht="15.75" x14ac:dyDescent="0.25">
      <c r="A27" s="14">
        <f t="shared" si="1"/>
        <v>18</v>
      </c>
      <c r="B27" s="20" t="s">
        <v>43</v>
      </c>
      <c r="C27" s="21">
        <f>SUM(C11:C26)</f>
        <v>237577.42799999993</v>
      </c>
      <c r="D27" s="21">
        <f>SUM(D11:D26)</f>
        <v>239856.70799999998</v>
      </c>
      <c r="E27" s="21">
        <f>SUM(E11:E26)+E7</f>
        <v>446574.53191000002</v>
      </c>
      <c r="F27" s="21">
        <f>SUM(F11:F26)+F7</f>
        <v>462850.24800999998</v>
      </c>
      <c r="G27" s="21">
        <f>SUM(G7:G26)</f>
        <v>3575.81</v>
      </c>
      <c r="H27" s="21">
        <f>SUM(H7:H26)</f>
        <v>3575.81</v>
      </c>
      <c r="I27" s="21">
        <f>SUM(I7)</f>
        <v>19788.080000000002</v>
      </c>
      <c r="J27" s="21">
        <f>SUM(J7)</f>
        <v>20456.79</v>
      </c>
      <c r="K27" s="21">
        <f>SUM(K11:K26)</f>
        <v>286.61</v>
      </c>
      <c r="L27" s="21">
        <f>SUM(L11:L26)</f>
        <v>281.89</v>
      </c>
      <c r="M27" s="21">
        <f>SUM(M7:M25)</f>
        <v>2685.86</v>
      </c>
      <c r="N27" s="21">
        <f>SUM(N7:N25)</f>
        <v>2685.86</v>
      </c>
      <c r="O27" s="21">
        <f>SUM(O7:O25)</f>
        <v>15024.05</v>
      </c>
      <c r="P27" s="21">
        <f>SUM(P7:P25)</f>
        <v>18796.23</v>
      </c>
      <c r="Q27" s="67"/>
      <c r="R27" s="67"/>
    </row>
    <row r="28" spans="1:18" ht="15.75" x14ac:dyDescent="0.25">
      <c r="A28" s="81"/>
      <c r="B28" s="23"/>
      <c r="C28" s="24"/>
      <c r="D28" s="24"/>
      <c r="E28" s="24"/>
      <c r="F28" s="45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45"/>
      <c r="R28" s="45"/>
    </row>
    <row r="29" spans="1:18" ht="15.75" x14ac:dyDescent="0.25">
      <c r="A29" s="81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45"/>
    </row>
    <row r="30" spans="1:18" ht="15.75" x14ac:dyDescent="0.25">
      <c r="A30" s="81"/>
      <c r="B30" s="54" t="s">
        <v>44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8" ht="15.75" x14ac:dyDescent="0.25">
      <c r="A31" s="81"/>
      <c r="B31" s="2" t="s">
        <v>45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ht="15.75" x14ac:dyDescent="0.25">
      <c r="A32" s="81"/>
      <c r="B32" s="2" t="s">
        <v>56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5.75" x14ac:dyDescent="0.25">
      <c r="A33" s="81"/>
      <c r="B33" s="55" t="s">
        <v>57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5.75" x14ac:dyDescent="0.25">
      <c r="A34" s="81"/>
      <c r="B34" s="2" t="s">
        <v>48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6.5" thickBot="1" x14ac:dyDescent="0.3">
      <c r="A35" s="81"/>
      <c r="B35" s="2" t="s">
        <v>62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6.5" thickBot="1" x14ac:dyDescent="0.3">
      <c r="A36" s="81"/>
      <c r="B36" s="135" t="s">
        <v>61</v>
      </c>
      <c r="C36" s="136"/>
      <c r="D36" s="136"/>
      <c r="E36" s="136"/>
      <c r="F36" s="136"/>
      <c r="G36" s="136"/>
      <c r="H36" s="137"/>
      <c r="I36" s="24"/>
      <c r="J36" s="24"/>
      <c r="K36" s="24"/>
      <c r="L36" s="24"/>
      <c r="M36" s="24"/>
      <c r="N36" s="24"/>
      <c r="O36" s="24"/>
      <c r="P36" s="24"/>
    </row>
    <row r="37" spans="1:16" ht="75.75" thickBot="1" x14ac:dyDescent="0.3">
      <c r="A37" s="81"/>
      <c r="B37" s="68" t="s">
        <v>49</v>
      </c>
      <c r="C37" s="24"/>
      <c r="D37" s="131" t="s">
        <v>60</v>
      </c>
      <c r="E37" s="132"/>
      <c r="F37" s="132"/>
      <c r="G37" s="132"/>
      <c r="H37" s="132"/>
      <c r="I37" s="133"/>
      <c r="J37" s="134"/>
      <c r="K37" s="78"/>
      <c r="L37" s="78"/>
      <c r="M37" s="78"/>
      <c r="N37" s="24"/>
      <c r="O37" s="24"/>
      <c r="P37" s="24"/>
    </row>
    <row r="38" spans="1:16" ht="15.75" x14ac:dyDescent="0.25">
      <c r="A38" s="81"/>
      <c r="B38" s="68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ht="15.75" x14ac:dyDescent="0.25">
      <c r="A39" s="81"/>
      <c r="B39" s="29" t="s">
        <v>50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s="69" customFormat="1" x14ac:dyDescent="0.25">
      <c r="B40" s="70" t="s">
        <v>51</v>
      </c>
      <c r="C40" s="71"/>
      <c r="D40" s="71"/>
      <c r="E40" s="71"/>
      <c r="F40" s="71"/>
      <c r="G40" s="72"/>
      <c r="L40" s="73"/>
    </row>
    <row r="41" spans="1:16" x14ac:dyDescent="0.25">
      <c r="B41" s="74" t="s">
        <v>52</v>
      </c>
      <c r="D41" s="45"/>
      <c r="F41" s="45"/>
    </row>
    <row r="42" spans="1:16" x14ac:dyDescent="0.25">
      <c r="B42" s="29" t="s">
        <v>53</v>
      </c>
      <c r="F42" s="45"/>
    </row>
    <row r="43" spans="1:16" x14ac:dyDescent="0.25">
      <c r="B43" s="75" t="s">
        <v>54</v>
      </c>
    </row>
    <row r="45" spans="1:16" x14ac:dyDescent="0.25">
      <c r="F45" s="45"/>
    </row>
  </sheetData>
  <mergeCells count="18">
    <mergeCell ref="B36:H36"/>
    <mergeCell ref="D37:J37"/>
    <mergeCell ref="O3:P3"/>
    <mergeCell ref="Q3:R3"/>
    <mergeCell ref="I4:J4"/>
    <mergeCell ref="K4:L4"/>
    <mergeCell ref="M4:N4"/>
    <mergeCell ref="O4:P4"/>
    <mergeCell ref="Q4:Q5"/>
    <mergeCell ref="R4:R5"/>
    <mergeCell ref="A1:N1"/>
    <mergeCell ref="A3:A5"/>
    <mergeCell ref="B3:B5"/>
    <mergeCell ref="C3:D4"/>
    <mergeCell ref="E3:F4"/>
    <mergeCell ref="G3:H4"/>
    <mergeCell ref="I3:L3"/>
    <mergeCell ref="M3:N3"/>
  </mergeCells>
  <hyperlinks>
    <hyperlink ref="B37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5"/>
  <sheetViews>
    <sheetView view="pageBreakPreview" topLeftCell="A4" zoomScaleNormal="100" zoomScaleSheetLayoutView="100" workbookViewId="0">
      <selection activeCell="K15" sqref="K15"/>
    </sheetView>
  </sheetViews>
  <sheetFormatPr defaultRowHeight="15" x14ac:dyDescent="0.25"/>
  <cols>
    <col min="1" max="1" width="7.42578125" style="2" customWidth="1"/>
    <col min="2" max="2" width="32.5703125" style="2" customWidth="1"/>
    <col min="3" max="3" width="12.7109375" style="2" customWidth="1"/>
    <col min="4" max="4" width="14" style="2" customWidth="1"/>
    <col min="5" max="5" width="14.5703125" style="2" customWidth="1"/>
    <col min="6" max="6" width="12.42578125" style="2" customWidth="1"/>
    <col min="7" max="7" width="14.42578125" style="2" customWidth="1"/>
    <col min="8" max="9" width="12.7109375" style="2" customWidth="1"/>
    <col min="10" max="13" width="11.7109375" style="2" customWidth="1"/>
    <col min="14" max="16" width="13.5703125" style="2" customWidth="1"/>
    <col min="17" max="17" width="14.85546875" style="2" customWidth="1"/>
    <col min="18" max="18" width="15" style="2" customWidth="1"/>
    <col min="19" max="16384" width="9.140625" style="2"/>
  </cols>
  <sheetData>
    <row r="1" spans="1:18" ht="30.75" customHeight="1" x14ac:dyDescent="0.25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84"/>
      <c r="P1" s="84"/>
    </row>
    <row r="2" spans="1:18" x14ac:dyDescent="0.25">
      <c r="O2" s="3"/>
      <c r="P2" s="3" t="s">
        <v>1</v>
      </c>
    </row>
    <row r="3" spans="1:18" ht="51" customHeight="1" x14ac:dyDescent="0.25">
      <c r="A3" s="111" t="s">
        <v>2</v>
      </c>
      <c r="B3" s="111" t="s">
        <v>3</v>
      </c>
      <c r="C3" s="112" t="s">
        <v>4</v>
      </c>
      <c r="D3" s="113"/>
      <c r="E3" s="112" t="s">
        <v>5</v>
      </c>
      <c r="F3" s="113"/>
      <c r="G3" s="112" t="s">
        <v>6</v>
      </c>
      <c r="H3" s="113"/>
      <c r="I3" s="116" t="s">
        <v>7</v>
      </c>
      <c r="J3" s="117"/>
      <c r="K3" s="117"/>
      <c r="L3" s="118"/>
      <c r="M3" s="111" t="s">
        <v>8</v>
      </c>
      <c r="N3" s="111"/>
      <c r="O3" s="111" t="s">
        <v>9</v>
      </c>
      <c r="P3" s="111"/>
      <c r="Q3" s="128"/>
      <c r="R3" s="128"/>
    </row>
    <row r="4" spans="1:18" ht="62.25" customHeight="1" x14ac:dyDescent="0.25">
      <c r="A4" s="111"/>
      <c r="B4" s="111"/>
      <c r="C4" s="114"/>
      <c r="D4" s="115"/>
      <c r="E4" s="114"/>
      <c r="F4" s="115"/>
      <c r="G4" s="114"/>
      <c r="H4" s="115"/>
      <c r="I4" s="116" t="s">
        <v>11</v>
      </c>
      <c r="J4" s="118"/>
      <c r="K4" s="116" t="s">
        <v>12</v>
      </c>
      <c r="L4" s="118"/>
      <c r="M4" s="111" t="s">
        <v>11</v>
      </c>
      <c r="N4" s="111"/>
      <c r="O4" s="111" t="s">
        <v>11</v>
      </c>
      <c r="P4" s="111"/>
      <c r="Q4" s="129"/>
      <c r="R4" s="130"/>
    </row>
    <row r="5" spans="1:18" ht="15" customHeight="1" x14ac:dyDescent="0.25">
      <c r="A5" s="111"/>
      <c r="B5" s="111"/>
      <c r="C5" s="83" t="s">
        <v>55</v>
      </c>
      <c r="D5" s="6">
        <v>44013</v>
      </c>
      <c r="E5" s="83" t="str">
        <f>C5</f>
        <v xml:space="preserve"> 01.01.2020</v>
      </c>
      <c r="F5" s="6">
        <f>D5</f>
        <v>44013</v>
      </c>
      <c r="G5" s="83" t="str">
        <f>C5</f>
        <v xml:space="preserve"> 01.01.2020</v>
      </c>
      <c r="H5" s="6">
        <f>D5</f>
        <v>44013</v>
      </c>
      <c r="I5" s="6" t="str">
        <f>C5</f>
        <v xml:space="preserve"> 01.01.2020</v>
      </c>
      <c r="J5" s="6">
        <f>D5</f>
        <v>44013</v>
      </c>
      <c r="K5" s="6" t="str">
        <f>C5</f>
        <v xml:space="preserve"> 01.01.2020</v>
      </c>
      <c r="L5" s="6">
        <f>D5</f>
        <v>44013</v>
      </c>
      <c r="M5" s="83" t="str">
        <f>C5</f>
        <v xml:space="preserve"> 01.01.2020</v>
      </c>
      <c r="N5" s="6">
        <f>D5</f>
        <v>44013</v>
      </c>
      <c r="O5" s="83" t="str">
        <f>E5</f>
        <v xml:space="preserve"> 01.01.2020</v>
      </c>
      <c r="P5" s="6">
        <f>F5</f>
        <v>44013</v>
      </c>
      <c r="Q5" s="129"/>
      <c r="R5" s="129"/>
    </row>
    <row r="6" spans="1:18" ht="15.75" customHeight="1" x14ac:dyDescent="0.25">
      <c r="A6" s="83">
        <v>1</v>
      </c>
      <c r="B6" s="83">
        <v>2</v>
      </c>
      <c r="C6" s="83">
        <v>3</v>
      </c>
      <c r="D6" s="83">
        <v>4</v>
      </c>
      <c r="E6" s="83">
        <v>5</v>
      </c>
      <c r="F6" s="83">
        <v>6</v>
      </c>
      <c r="G6" s="83">
        <v>7</v>
      </c>
      <c r="H6" s="83">
        <v>8</v>
      </c>
      <c r="I6" s="7">
        <v>9</v>
      </c>
      <c r="J6" s="7">
        <v>10</v>
      </c>
      <c r="K6" s="7">
        <v>11</v>
      </c>
      <c r="L6" s="83">
        <v>12</v>
      </c>
      <c r="M6" s="83">
        <v>13</v>
      </c>
      <c r="N6" s="83">
        <v>14</v>
      </c>
      <c r="O6" s="83">
        <v>15</v>
      </c>
      <c r="P6" s="83">
        <v>16</v>
      </c>
      <c r="Q6" s="85"/>
      <c r="R6" s="85"/>
    </row>
    <row r="7" spans="1:18" ht="15.75" x14ac:dyDescent="0.25">
      <c r="A7" s="9">
        <v>1</v>
      </c>
      <c r="B7" s="10" t="s">
        <v>15</v>
      </c>
      <c r="C7" s="11" t="s">
        <v>16</v>
      </c>
      <c r="D7" s="11" t="s">
        <v>16</v>
      </c>
      <c r="E7" s="11">
        <f>E8+E10+E9</f>
        <v>53600.531910000005</v>
      </c>
      <c r="F7" s="11">
        <f>F8+F10+F9</f>
        <v>74095.447460000039</v>
      </c>
      <c r="G7" s="11" t="s">
        <v>16</v>
      </c>
      <c r="H7" s="11" t="s">
        <v>16</v>
      </c>
      <c r="I7" s="12">
        <v>19788.080000000002</v>
      </c>
      <c r="J7" s="66">
        <v>18872.75</v>
      </c>
      <c r="K7" s="53" t="s">
        <v>16</v>
      </c>
      <c r="L7" s="53"/>
      <c r="M7" s="12">
        <f>'[1]01.05.2018'!N7</f>
        <v>2685.86</v>
      </c>
      <c r="N7" s="46">
        <f>M7</f>
        <v>2685.86</v>
      </c>
      <c r="O7" s="12">
        <v>15024.05</v>
      </c>
      <c r="P7" s="58">
        <v>17501.060000000001</v>
      </c>
      <c r="Q7" s="67"/>
      <c r="R7" s="67"/>
    </row>
    <row r="8" spans="1:18" ht="17.25" customHeight="1" x14ac:dyDescent="0.25">
      <c r="A8" s="14" t="s">
        <v>17</v>
      </c>
      <c r="B8" s="15" t="s">
        <v>18</v>
      </c>
      <c r="C8" s="11" t="s">
        <v>16</v>
      </c>
      <c r="D8" s="11" t="s">
        <v>16</v>
      </c>
      <c r="E8" s="12">
        <f>3804630.15/1000</f>
        <v>3804.63015</v>
      </c>
      <c r="F8" s="58">
        <f>4680527.65/1000</f>
        <v>4680.52765</v>
      </c>
      <c r="G8" s="11" t="s">
        <v>16</v>
      </c>
      <c r="H8" s="11" t="s">
        <v>16</v>
      </c>
      <c r="I8" s="53" t="s">
        <v>16</v>
      </c>
      <c r="J8" s="53" t="s">
        <v>16</v>
      </c>
      <c r="K8" s="53" t="s">
        <v>16</v>
      </c>
      <c r="L8" s="53"/>
      <c r="M8" s="11" t="s">
        <v>16</v>
      </c>
      <c r="N8" s="11" t="s">
        <v>16</v>
      </c>
      <c r="O8" s="11" t="s">
        <v>16</v>
      </c>
      <c r="P8" s="11" t="s">
        <v>16</v>
      </c>
      <c r="Q8" s="67"/>
      <c r="R8" s="41"/>
    </row>
    <row r="9" spans="1:18" ht="44.25" customHeight="1" x14ac:dyDescent="0.25">
      <c r="A9" s="14" t="s">
        <v>19</v>
      </c>
      <c r="B9" s="16" t="s">
        <v>20</v>
      </c>
      <c r="C9" s="11" t="s">
        <v>16</v>
      </c>
      <c r="D9" s="11" t="s">
        <v>16</v>
      </c>
      <c r="E9" s="12">
        <f>[2]TDSheet!$K$154/1000</f>
        <v>49757.100100000003</v>
      </c>
      <c r="F9" s="11">
        <f>[14]TDSheet!$I$218/1000</f>
        <v>69340.599710000039</v>
      </c>
      <c r="G9" s="11" t="s">
        <v>16</v>
      </c>
      <c r="H9" s="11" t="s">
        <v>16</v>
      </c>
      <c r="I9" s="53" t="s">
        <v>16</v>
      </c>
      <c r="J9" s="53" t="s">
        <v>16</v>
      </c>
      <c r="K9" s="53" t="s">
        <v>16</v>
      </c>
      <c r="L9" s="53"/>
      <c r="M9" s="11" t="s">
        <v>16</v>
      </c>
      <c r="N9" s="11" t="s">
        <v>16</v>
      </c>
      <c r="O9" s="11" t="s">
        <v>16</v>
      </c>
      <c r="P9" s="11" t="s">
        <v>16</v>
      </c>
      <c r="Q9" s="67"/>
      <c r="R9" s="41"/>
    </row>
    <row r="10" spans="1:18" ht="15.75" x14ac:dyDescent="0.25">
      <c r="A10" s="14" t="s">
        <v>21</v>
      </c>
      <c r="B10" s="17" t="s">
        <v>22</v>
      </c>
      <c r="C10" s="11" t="s">
        <v>16</v>
      </c>
      <c r="D10" s="11" t="s">
        <v>16</v>
      </c>
      <c r="E10" s="12">
        <f>38801.66/1000</f>
        <v>38.801660000000005</v>
      </c>
      <c r="F10" s="58">
        <f>74320.1/1000</f>
        <v>74.320100000000011</v>
      </c>
      <c r="G10" s="11" t="s">
        <v>16</v>
      </c>
      <c r="H10" s="11" t="s">
        <v>16</v>
      </c>
      <c r="I10" s="53" t="s">
        <v>16</v>
      </c>
      <c r="J10" s="53" t="s">
        <v>16</v>
      </c>
      <c r="K10" s="53" t="s">
        <v>16</v>
      </c>
      <c r="L10" s="53"/>
      <c r="M10" s="11" t="s">
        <v>16</v>
      </c>
      <c r="N10" s="11" t="s">
        <v>16</v>
      </c>
      <c r="O10" s="11" t="s">
        <v>16</v>
      </c>
      <c r="P10" s="11" t="s">
        <v>16</v>
      </c>
      <c r="Q10" s="67"/>
      <c r="R10" s="41"/>
    </row>
    <row r="11" spans="1:18" ht="15.75" x14ac:dyDescent="0.25">
      <c r="A11" s="14">
        <v>2</v>
      </c>
      <c r="B11" s="18" t="s">
        <v>23</v>
      </c>
      <c r="C11" s="11">
        <v>5650.03</v>
      </c>
      <c r="D11" s="11">
        <f>[12]Свод!$K$7</f>
        <v>5487.4500000000007</v>
      </c>
      <c r="E11" s="11">
        <v>15925</v>
      </c>
      <c r="F11" s="58">
        <v>15951</v>
      </c>
      <c r="G11" s="11" t="s">
        <v>24</v>
      </c>
      <c r="H11" s="11" t="s">
        <v>24</v>
      </c>
      <c r="I11" s="53" t="s">
        <v>16</v>
      </c>
      <c r="J11" s="53" t="s">
        <v>16</v>
      </c>
      <c r="K11" s="12">
        <v>6.36</v>
      </c>
      <c r="L11" s="53">
        <v>0</v>
      </c>
      <c r="M11" s="11" t="s">
        <v>16</v>
      </c>
      <c r="N11" s="11" t="s">
        <v>16</v>
      </c>
      <c r="O11" s="11" t="s">
        <v>16</v>
      </c>
      <c r="P11" s="11" t="s">
        <v>16</v>
      </c>
      <c r="Q11" s="67"/>
      <c r="R11" s="67"/>
    </row>
    <row r="12" spans="1:18" ht="15.75" x14ac:dyDescent="0.25">
      <c r="A12" s="14">
        <f>A11+1</f>
        <v>3</v>
      </c>
      <c r="B12" s="18" t="s">
        <v>25</v>
      </c>
      <c r="C12" s="11">
        <f>'[6]01.01.2020'!$D$12</f>
        <v>673.89999999999964</v>
      </c>
      <c r="D12" s="11">
        <f>[12]Свод!$K$8</f>
        <v>549.10000000000036</v>
      </c>
      <c r="E12" s="11">
        <v>112</v>
      </c>
      <c r="F12" s="58">
        <v>94</v>
      </c>
      <c r="G12" s="11" t="s">
        <v>24</v>
      </c>
      <c r="H12" s="11" t="s">
        <v>24</v>
      </c>
      <c r="I12" s="53" t="s">
        <v>16</v>
      </c>
      <c r="J12" s="53" t="s">
        <v>16</v>
      </c>
      <c r="K12" s="12">
        <v>0</v>
      </c>
      <c r="L12" s="53">
        <v>0</v>
      </c>
      <c r="M12" s="11" t="s">
        <v>16</v>
      </c>
      <c r="N12" s="11" t="s">
        <v>16</v>
      </c>
      <c r="O12" s="11" t="s">
        <v>16</v>
      </c>
      <c r="P12" s="11" t="s">
        <v>16</v>
      </c>
      <c r="Q12" s="67"/>
      <c r="R12" s="67"/>
    </row>
    <row r="13" spans="1:18" ht="18" customHeight="1" x14ac:dyDescent="0.25">
      <c r="A13" s="14">
        <f t="shared" ref="A13:A14" si="0">A12+1</f>
        <v>4</v>
      </c>
      <c r="B13" s="18" t="s">
        <v>26</v>
      </c>
      <c r="C13" s="11">
        <f>'[6]01.01.2020'!$D$13</f>
        <v>20434.799999999988</v>
      </c>
      <c r="D13" s="11">
        <f>[12]Свод!$K$9</f>
        <v>16758.600000000002</v>
      </c>
      <c r="E13" s="11">
        <v>26253</v>
      </c>
      <c r="F13" s="58">
        <v>20724</v>
      </c>
      <c r="G13" s="11" t="s">
        <v>24</v>
      </c>
      <c r="H13" s="11" t="s">
        <v>24</v>
      </c>
      <c r="I13" s="53" t="s">
        <v>16</v>
      </c>
      <c r="J13" s="53" t="s">
        <v>16</v>
      </c>
      <c r="K13" s="12">
        <v>22.36</v>
      </c>
      <c r="L13" s="53">
        <v>51.24</v>
      </c>
      <c r="M13" s="11" t="s">
        <v>16</v>
      </c>
      <c r="N13" s="11" t="s">
        <v>16</v>
      </c>
      <c r="O13" s="11" t="s">
        <v>16</v>
      </c>
      <c r="P13" s="11" t="s">
        <v>16</v>
      </c>
      <c r="Q13" s="67"/>
      <c r="R13" s="67"/>
    </row>
    <row r="14" spans="1:18" ht="31.5" x14ac:dyDescent="0.25">
      <c r="A14" s="14">
        <f t="shared" si="0"/>
        <v>5</v>
      </c>
      <c r="B14" s="18" t="s">
        <v>27</v>
      </c>
      <c r="C14" s="11">
        <f>'[6]01.01.2020'!$D$14</f>
        <v>10040.79999999999</v>
      </c>
      <c r="D14" s="11">
        <f>[12]Свод!$K$10</f>
        <v>10340.100000000002</v>
      </c>
      <c r="E14" s="11">
        <v>1130</v>
      </c>
      <c r="F14" s="58">
        <v>129</v>
      </c>
      <c r="G14" s="11" t="s">
        <v>24</v>
      </c>
      <c r="H14" s="11" t="s">
        <v>24</v>
      </c>
      <c r="I14" s="53" t="s">
        <v>16</v>
      </c>
      <c r="J14" s="53" t="s">
        <v>16</v>
      </c>
      <c r="K14" s="12">
        <v>0</v>
      </c>
      <c r="L14" s="53">
        <v>0</v>
      </c>
      <c r="M14" s="11" t="s">
        <v>16</v>
      </c>
      <c r="N14" s="11" t="s">
        <v>16</v>
      </c>
      <c r="O14" s="11" t="s">
        <v>16</v>
      </c>
      <c r="P14" s="11" t="s">
        <v>16</v>
      </c>
      <c r="Q14" s="67"/>
      <c r="R14" s="67"/>
    </row>
    <row r="15" spans="1:18" ht="15.75" x14ac:dyDescent="0.25">
      <c r="A15" s="14">
        <f>A14+1</f>
        <v>6</v>
      </c>
      <c r="B15" s="18" t="s">
        <v>28</v>
      </c>
      <c r="C15" s="11">
        <f>'[6]01.01.2020'!$D$15</f>
        <v>30846.32999999998</v>
      </c>
      <c r="D15" s="11">
        <f>[12]Свод!$K$11</f>
        <v>30846.329999999998</v>
      </c>
      <c r="E15" s="11">
        <v>46515</v>
      </c>
      <c r="F15" s="58">
        <v>46517</v>
      </c>
      <c r="G15" s="11" t="s">
        <v>29</v>
      </c>
      <c r="H15" s="11" t="s">
        <v>29</v>
      </c>
      <c r="I15" s="53" t="s">
        <v>16</v>
      </c>
      <c r="J15" s="53" t="s">
        <v>16</v>
      </c>
      <c r="K15" s="12">
        <v>209.4</v>
      </c>
      <c r="L15" s="53">
        <v>209.4</v>
      </c>
      <c r="M15" s="11" t="s">
        <v>16</v>
      </c>
      <c r="N15" s="11" t="s">
        <v>16</v>
      </c>
      <c r="O15" s="11" t="s">
        <v>16</v>
      </c>
      <c r="P15" s="11" t="s">
        <v>16</v>
      </c>
      <c r="Q15" s="67"/>
      <c r="R15" s="67"/>
    </row>
    <row r="16" spans="1:18" ht="17.25" customHeight="1" x14ac:dyDescent="0.25">
      <c r="A16" s="14">
        <f t="shared" ref="A16:A27" si="1">A15+1</f>
        <v>7</v>
      </c>
      <c r="B16" s="19" t="s">
        <v>30</v>
      </c>
      <c r="C16" s="11">
        <f>'[6]01.01.2020'!$D$16</f>
        <v>2252</v>
      </c>
      <c r="D16" s="11">
        <f>[12]Свод!$K$13</f>
        <v>2252</v>
      </c>
      <c r="E16" s="11" t="s">
        <v>31</v>
      </c>
      <c r="F16" s="53" t="s">
        <v>31</v>
      </c>
      <c r="G16" s="11" t="s">
        <v>32</v>
      </c>
      <c r="H16" s="11" t="s">
        <v>29</v>
      </c>
      <c r="I16" s="53" t="s">
        <v>16</v>
      </c>
      <c r="J16" s="53" t="s">
        <v>16</v>
      </c>
      <c r="K16" s="12" t="s">
        <v>29</v>
      </c>
      <c r="L16" s="53"/>
      <c r="M16" s="11" t="s">
        <v>16</v>
      </c>
      <c r="N16" s="11" t="s">
        <v>16</v>
      </c>
      <c r="O16" s="11" t="s">
        <v>16</v>
      </c>
      <c r="P16" s="11" t="s">
        <v>16</v>
      </c>
      <c r="Q16" s="67"/>
      <c r="R16" s="67"/>
    </row>
    <row r="17" spans="1:18" ht="15.75" x14ac:dyDescent="0.25">
      <c r="A17" s="14">
        <f t="shared" si="1"/>
        <v>8</v>
      </c>
      <c r="B17" s="18" t="s">
        <v>33</v>
      </c>
      <c r="C17" s="11">
        <f>'[6]01.01.2020'!$D$17</f>
        <v>61241.929999999978</v>
      </c>
      <c r="D17" s="12">
        <f>[12]Свод!$K$14</f>
        <v>63478.01</v>
      </c>
      <c r="E17" s="11">
        <v>51560</v>
      </c>
      <c r="F17" s="58">
        <v>54797</v>
      </c>
      <c r="G17" s="11" t="s">
        <v>29</v>
      </c>
      <c r="H17" s="11" t="s">
        <v>29</v>
      </c>
      <c r="I17" s="53" t="s">
        <v>16</v>
      </c>
      <c r="J17" s="53" t="s">
        <v>16</v>
      </c>
      <c r="K17" s="12">
        <v>0</v>
      </c>
      <c r="L17" s="53">
        <v>13.36</v>
      </c>
      <c r="M17" s="11" t="s">
        <v>16</v>
      </c>
      <c r="N17" s="11" t="s">
        <v>16</v>
      </c>
      <c r="O17" s="11" t="s">
        <v>16</v>
      </c>
      <c r="P17" s="11" t="s">
        <v>16</v>
      </c>
      <c r="Q17" s="67"/>
      <c r="R17" s="67"/>
    </row>
    <row r="18" spans="1:18" ht="15.75" x14ac:dyDescent="0.25">
      <c r="A18" s="14">
        <f t="shared" si="1"/>
        <v>9</v>
      </c>
      <c r="B18" s="18" t="s">
        <v>34</v>
      </c>
      <c r="C18" s="11">
        <v>17219.330000000002</v>
      </c>
      <c r="D18" s="12">
        <f>[12]Свод!$K$15</f>
        <v>17174.13</v>
      </c>
      <c r="E18" s="11">
        <v>8820</v>
      </c>
      <c r="F18" s="58">
        <v>8559</v>
      </c>
      <c r="G18" s="11" t="str">
        <f>'[4]01.01.2016'!H19</f>
        <v>-</v>
      </c>
      <c r="H18" s="11" t="s">
        <v>24</v>
      </c>
      <c r="I18" s="53" t="s">
        <v>16</v>
      </c>
      <c r="J18" s="53" t="s">
        <v>16</v>
      </c>
      <c r="K18" s="12">
        <v>0</v>
      </c>
      <c r="L18" s="53">
        <v>0</v>
      </c>
      <c r="M18" s="11" t="s">
        <v>16</v>
      </c>
      <c r="N18" s="11" t="s">
        <v>16</v>
      </c>
      <c r="O18" s="11" t="s">
        <v>16</v>
      </c>
      <c r="P18" s="11" t="s">
        <v>16</v>
      </c>
      <c r="Q18" s="67"/>
      <c r="R18" s="67"/>
    </row>
    <row r="19" spans="1:18" ht="15.75" x14ac:dyDescent="0.25">
      <c r="A19" s="14">
        <f t="shared" si="1"/>
        <v>10</v>
      </c>
      <c r="B19" s="18" t="s">
        <v>35</v>
      </c>
      <c r="C19" s="11">
        <f>'[6]01.01.2020'!$D$19</f>
        <v>9515.3999999999978</v>
      </c>
      <c r="D19" s="11">
        <f>[12]Свод!$K$16</f>
        <v>9396</v>
      </c>
      <c r="E19" s="11">
        <v>4883</v>
      </c>
      <c r="F19" s="58">
        <v>4481</v>
      </c>
      <c r="G19" s="11" t="s">
        <v>29</v>
      </c>
      <c r="H19" s="11" t="s">
        <v>29</v>
      </c>
      <c r="I19" s="53" t="s">
        <v>16</v>
      </c>
      <c r="J19" s="53" t="s">
        <v>16</v>
      </c>
      <c r="K19" s="12">
        <v>0</v>
      </c>
      <c r="L19" s="53">
        <v>0</v>
      </c>
      <c r="M19" s="11" t="s">
        <v>16</v>
      </c>
      <c r="N19" s="11" t="s">
        <v>16</v>
      </c>
      <c r="O19" s="11" t="s">
        <v>16</v>
      </c>
      <c r="P19" s="11" t="s">
        <v>16</v>
      </c>
      <c r="Q19" s="67"/>
      <c r="R19" s="67"/>
    </row>
    <row r="20" spans="1:18" ht="15.75" x14ac:dyDescent="0.25">
      <c r="A20" s="14">
        <f t="shared" si="1"/>
        <v>11</v>
      </c>
      <c r="B20" s="18" t="s">
        <v>36</v>
      </c>
      <c r="C20" s="11">
        <f>'[6]01.01.2020'!$D$20</f>
        <v>6023.6200000000044</v>
      </c>
      <c r="D20" s="11">
        <f>[12]Свод!$K$12</f>
        <v>6571.4200000000028</v>
      </c>
      <c r="E20" s="11">
        <v>163</v>
      </c>
      <c r="F20" s="58">
        <v>199</v>
      </c>
      <c r="G20" s="11" t="s">
        <v>29</v>
      </c>
      <c r="H20" s="11" t="s">
        <v>29</v>
      </c>
      <c r="I20" s="53" t="s">
        <v>16</v>
      </c>
      <c r="J20" s="53" t="s">
        <v>16</v>
      </c>
      <c r="K20" s="12">
        <v>0</v>
      </c>
      <c r="L20" s="53">
        <v>4.74</v>
      </c>
      <c r="M20" s="11" t="s">
        <v>16</v>
      </c>
      <c r="N20" s="11" t="s">
        <v>16</v>
      </c>
      <c r="O20" s="11" t="s">
        <v>16</v>
      </c>
      <c r="P20" s="11" t="s">
        <v>16</v>
      </c>
      <c r="Q20" s="67"/>
      <c r="R20" s="67"/>
    </row>
    <row r="21" spans="1:18" ht="15.75" x14ac:dyDescent="0.25">
      <c r="A21" s="14">
        <f t="shared" si="1"/>
        <v>12</v>
      </c>
      <c r="B21" s="18" t="s">
        <v>37</v>
      </c>
      <c r="C21" s="11">
        <f>'[6]01.01.2020'!$D$21</f>
        <v>5118.8900000000049</v>
      </c>
      <c r="D21" s="11">
        <f>[12]Свод!$K$17</f>
        <v>6132.6099999999988</v>
      </c>
      <c r="E21" s="11">
        <v>1582</v>
      </c>
      <c r="F21" s="58">
        <v>1099</v>
      </c>
      <c r="G21" s="11" t="s">
        <v>24</v>
      </c>
      <c r="H21" s="11" t="s">
        <v>24</v>
      </c>
      <c r="I21" s="53" t="s">
        <v>16</v>
      </c>
      <c r="J21" s="53" t="s">
        <v>16</v>
      </c>
      <c r="K21" s="12">
        <v>0</v>
      </c>
      <c r="L21" s="53">
        <v>0</v>
      </c>
      <c r="M21" s="11" t="s">
        <v>16</v>
      </c>
      <c r="N21" s="11" t="s">
        <v>16</v>
      </c>
      <c r="O21" s="11" t="s">
        <v>16</v>
      </c>
      <c r="P21" s="11" t="s">
        <v>16</v>
      </c>
      <c r="Q21" s="67"/>
      <c r="R21" s="67"/>
    </row>
    <row r="22" spans="1:18" ht="15.75" x14ac:dyDescent="0.25">
      <c r="A22" s="14">
        <f t="shared" si="1"/>
        <v>13</v>
      </c>
      <c r="B22" s="18" t="s">
        <v>38</v>
      </c>
      <c r="C22" s="11">
        <f>'[6]01.01.2020'!$D$22</f>
        <v>804.08999999999992</v>
      </c>
      <c r="D22" s="11">
        <f>[12]Свод!$K$18</f>
        <v>1739.29</v>
      </c>
      <c r="E22" s="11">
        <v>35</v>
      </c>
      <c r="F22" s="58">
        <v>34</v>
      </c>
      <c r="G22" s="11" t="s">
        <v>24</v>
      </c>
      <c r="H22" s="11" t="s">
        <v>24</v>
      </c>
      <c r="I22" s="53" t="s">
        <v>16</v>
      </c>
      <c r="J22" s="53" t="s">
        <v>16</v>
      </c>
      <c r="K22" s="12">
        <v>0</v>
      </c>
      <c r="L22" s="53">
        <v>0</v>
      </c>
      <c r="M22" s="11" t="s">
        <v>16</v>
      </c>
      <c r="N22" s="11" t="s">
        <v>16</v>
      </c>
      <c r="O22" s="11" t="s">
        <v>16</v>
      </c>
      <c r="P22" s="11" t="s">
        <v>16</v>
      </c>
      <c r="Q22" s="67"/>
      <c r="R22" s="67"/>
    </row>
    <row r="23" spans="1:18" ht="15.75" x14ac:dyDescent="0.25">
      <c r="A23" s="14">
        <f t="shared" si="1"/>
        <v>14</v>
      </c>
      <c r="B23" s="18" t="s">
        <v>39</v>
      </c>
      <c r="C23" s="11">
        <f>'[6]01.01.2020'!$D$23</f>
        <v>5355.3780000000006</v>
      </c>
      <c r="D23" s="11">
        <f>[12]Свод!$K$19</f>
        <v>7081.1280000000006</v>
      </c>
      <c r="E23" s="11">
        <v>827</v>
      </c>
      <c r="F23" s="58">
        <v>2226</v>
      </c>
      <c r="G23" s="11" t="s">
        <v>24</v>
      </c>
      <c r="H23" s="11" t="s">
        <v>24</v>
      </c>
      <c r="I23" s="53" t="s">
        <v>16</v>
      </c>
      <c r="J23" s="53" t="s">
        <v>16</v>
      </c>
      <c r="K23" s="12">
        <v>11.77</v>
      </c>
      <c r="L23" s="53">
        <v>1.82</v>
      </c>
      <c r="M23" s="11" t="s">
        <v>16</v>
      </c>
      <c r="N23" s="11" t="s">
        <v>16</v>
      </c>
      <c r="O23" s="11" t="s">
        <v>16</v>
      </c>
      <c r="P23" s="11" t="s">
        <v>16</v>
      </c>
      <c r="Q23" s="67"/>
      <c r="R23" s="67"/>
    </row>
    <row r="24" spans="1:18" ht="15.75" x14ac:dyDescent="0.25">
      <c r="A24" s="14">
        <f t="shared" si="1"/>
        <v>15</v>
      </c>
      <c r="B24" s="18" t="s">
        <v>40</v>
      </c>
      <c r="C24" s="11">
        <f>'[6]01.01.2020'!$D$24</f>
        <v>38062.04</v>
      </c>
      <c r="D24" s="11">
        <f>C24</f>
        <v>38062.04</v>
      </c>
      <c r="E24" s="11">
        <v>188372</v>
      </c>
      <c r="F24" s="58">
        <f>E24</f>
        <v>188372</v>
      </c>
      <c r="G24" s="11">
        <f>'[5]01.01.2018'!$H$23</f>
        <v>3575.81</v>
      </c>
      <c r="H24" s="11">
        <f>G24</f>
        <v>3575.81</v>
      </c>
      <c r="I24" s="53" t="s">
        <v>16</v>
      </c>
      <c r="J24" s="53" t="s">
        <v>16</v>
      </c>
      <c r="K24" s="12">
        <v>0</v>
      </c>
      <c r="L24" s="53">
        <v>0</v>
      </c>
      <c r="M24" s="11" t="s">
        <v>16</v>
      </c>
      <c r="N24" s="11" t="s">
        <v>16</v>
      </c>
      <c r="O24" s="11" t="s">
        <v>16</v>
      </c>
      <c r="P24" s="11" t="s">
        <v>16</v>
      </c>
      <c r="Q24" s="67"/>
      <c r="R24" s="67"/>
    </row>
    <row r="25" spans="1:18" ht="15.75" x14ac:dyDescent="0.25">
      <c r="A25" s="14">
        <f t="shared" si="1"/>
        <v>16</v>
      </c>
      <c r="B25" s="18" t="s">
        <v>41</v>
      </c>
      <c r="C25" s="11">
        <f>'[6]01.01.2020'!$D$25</f>
        <v>4156.6099999999997</v>
      </c>
      <c r="D25" s="12">
        <f>C25</f>
        <v>4156.6099999999997</v>
      </c>
      <c r="E25" s="11" t="s">
        <v>24</v>
      </c>
      <c r="F25" s="58"/>
      <c r="G25" s="11" t="str">
        <f>'[4]01.01.2016'!H24</f>
        <v>-</v>
      </c>
      <c r="H25" s="11" t="s">
        <v>24</v>
      </c>
      <c r="I25" s="53" t="s">
        <v>16</v>
      </c>
      <c r="J25" s="53" t="s">
        <v>16</v>
      </c>
      <c r="K25" s="53" t="s">
        <v>24</v>
      </c>
      <c r="L25" s="53" t="s">
        <v>29</v>
      </c>
      <c r="M25" s="11" t="s">
        <v>24</v>
      </c>
      <c r="N25" s="11" t="s">
        <v>24</v>
      </c>
      <c r="O25" s="11" t="s">
        <v>24</v>
      </c>
      <c r="P25" s="11" t="s">
        <v>24</v>
      </c>
      <c r="Q25" s="67"/>
      <c r="R25" s="85"/>
    </row>
    <row r="26" spans="1:18" ht="15.75" x14ac:dyDescent="0.25">
      <c r="A26" s="14">
        <f t="shared" si="1"/>
        <v>17</v>
      </c>
      <c r="B26" s="18" t="s">
        <v>42</v>
      </c>
      <c r="C26" s="11">
        <f>'[6]01.01.2020'!$D$26</f>
        <v>20182.28</v>
      </c>
      <c r="D26" s="12">
        <f>C26</f>
        <v>20182.28</v>
      </c>
      <c r="E26" s="11">
        <v>46797</v>
      </c>
      <c r="F26" s="58">
        <f>E26</f>
        <v>46797</v>
      </c>
      <c r="G26" s="11" t="str">
        <f>'[4]01.01.2016'!H18</f>
        <v>-</v>
      </c>
      <c r="H26" s="11" t="s">
        <v>24</v>
      </c>
      <c r="I26" s="53" t="s">
        <v>16</v>
      </c>
      <c r="J26" s="53" t="s">
        <v>16</v>
      </c>
      <c r="K26" s="12">
        <v>36.72</v>
      </c>
      <c r="L26" s="53">
        <v>36.72</v>
      </c>
      <c r="M26" s="11" t="s">
        <v>16</v>
      </c>
      <c r="N26" s="11" t="s">
        <v>16</v>
      </c>
      <c r="O26" s="11" t="s">
        <v>16</v>
      </c>
      <c r="P26" s="11" t="s">
        <v>16</v>
      </c>
      <c r="Q26" s="67"/>
      <c r="R26" s="67"/>
    </row>
    <row r="27" spans="1:18" ht="15.75" x14ac:dyDescent="0.25">
      <c r="A27" s="14">
        <f t="shared" si="1"/>
        <v>18</v>
      </c>
      <c r="B27" s="20" t="s">
        <v>43</v>
      </c>
      <c r="C27" s="21">
        <f>SUM(C11:C26)</f>
        <v>237577.42799999993</v>
      </c>
      <c r="D27" s="21">
        <f>SUM(D11:D26)</f>
        <v>240207.098</v>
      </c>
      <c r="E27" s="21">
        <f>SUM(E11:E26)+E7</f>
        <v>446574.53191000002</v>
      </c>
      <c r="F27" s="21">
        <f>SUM(F11:F26)+F7</f>
        <v>464074.44746000005</v>
      </c>
      <c r="G27" s="21">
        <f>SUM(G7:G26)</f>
        <v>3575.81</v>
      </c>
      <c r="H27" s="21">
        <f>SUM(H7:H26)</f>
        <v>3575.81</v>
      </c>
      <c r="I27" s="21">
        <f>SUM(I7)</f>
        <v>19788.080000000002</v>
      </c>
      <c r="J27" s="21">
        <f>SUM(J7)</f>
        <v>18872.75</v>
      </c>
      <c r="K27" s="21">
        <f>SUM(K11:K26)</f>
        <v>286.61</v>
      </c>
      <c r="L27" s="21">
        <f>SUM(L11:L26)</f>
        <v>317.27999999999997</v>
      </c>
      <c r="M27" s="21">
        <f>SUM(M7:M25)</f>
        <v>2685.86</v>
      </c>
      <c r="N27" s="21">
        <f>SUM(N7:N25)</f>
        <v>2685.86</v>
      </c>
      <c r="O27" s="21">
        <f>SUM(O7:O25)</f>
        <v>15024.05</v>
      </c>
      <c r="P27" s="21">
        <f>SUM(P7:P25)</f>
        <v>17501.060000000001</v>
      </c>
      <c r="Q27" s="67"/>
      <c r="R27" s="67"/>
    </row>
    <row r="28" spans="1:18" ht="15.75" x14ac:dyDescent="0.25">
      <c r="A28" s="85"/>
      <c r="B28" s="23"/>
      <c r="C28" s="24"/>
      <c r="D28" s="24"/>
      <c r="E28" s="24"/>
      <c r="F28" s="45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45"/>
      <c r="R28" s="45"/>
    </row>
    <row r="29" spans="1:18" ht="15.75" x14ac:dyDescent="0.25">
      <c r="A29" s="85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45"/>
    </row>
    <row r="30" spans="1:18" ht="15.75" x14ac:dyDescent="0.25">
      <c r="A30" s="85"/>
      <c r="B30" s="54" t="s">
        <v>44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8" ht="15.75" x14ac:dyDescent="0.25">
      <c r="A31" s="85"/>
      <c r="B31" s="2" t="s">
        <v>45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ht="15.75" x14ac:dyDescent="0.25">
      <c r="A32" s="85"/>
      <c r="B32" s="2" t="s">
        <v>56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5.75" x14ac:dyDescent="0.25">
      <c r="A33" s="85"/>
      <c r="B33" s="55" t="s">
        <v>57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5.75" x14ac:dyDescent="0.25">
      <c r="A34" s="85"/>
      <c r="B34" s="2" t="s">
        <v>48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6.5" thickBot="1" x14ac:dyDescent="0.3">
      <c r="A35" s="85"/>
      <c r="B35" s="2" t="s">
        <v>62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6.5" thickBot="1" x14ac:dyDescent="0.3">
      <c r="A36" s="85"/>
      <c r="B36" s="135" t="s">
        <v>61</v>
      </c>
      <c r="C36" s="136"/>
      <c r="D36" s="136"/>
      <c r="E36" s="136"/>
      <c r="F36" s="136"/>
      <c r="G36" s="136"/>
      <c r="H36" s="137"/>
      <c r="I36" s="24"/>
      <c r="J36" s="24"/>
      <c r="K36" s="24"/>
      <c r="L36" s="24"/>
      <c r="M36" s="24"/>
      <c r="N36" s="24"/>
      <c r="O36" s="24"/>
      <c r="P36" s="24"/>
    </row>
    <row r="37" spans="1:16" ht="75.75" thickBot="1" x14ac:dyDescent="0.3">
      <c r="A37" s="85"/>
      <c r="B37" s="68" t="s">
        <v>49</v>
      </c>
      <c r="C37" s="24"/>
      <c r="D37" s="131" t="s">
        <v>60</v>
      </c>
      <c r="E37" s="132"/>
      <c r="F37" s="132"/>
      <c r="G37" s="132"/>
      <c r="H37" s="132"/>
      <c r="I37" s="133"/>
      <c r="J37" s="134"/>
      <c r="K37" s="82"/>
      <c r="L37" s="82"/>
      <c r="M37" s="82"/>
      <c r="N37" s="24"/>
      <c r="O37" s="24"/>
      <c r="P37" s="24"/>
    </row>
    <row r="38" spans="1:16" ht="15.75" x14ac:dyDescent="0.25">
      <c r="A38" s="85"/>
      <c r="B38" s="68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ht="15.75" x14ac:dyDescent="0.25">
      <c r="A39" s="85"/>
      <c r="B39" s="29" t="s">
        <v>50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s="69" customFormat="1" x14ac:dyDescent="0.25">
      <c r="B40" s="70" t="s">
        <v>51</v>
      </c>
      <c r="C40" s="71"/>
      <c r="D40" s="71"/>
      <c r="E40" s="71"/>
      <c r="F40" s="71"/>
      <c r="G40" s="72"/>
      <c r="L40" s="73"/>
    </row>
    <row r="41" spans="1:16" x14ac:dyDescent="0.25">
      <c r="B41" s="74" t="s">
        <v>52</v>
      </c>
      <c r="D41" s="45"/>
      <c r="F41" s="45"/>
    </row>
    <row r="42" spans="1:16" x14ac:dyDescent="0.25">
      <c r="B42" s="29" t="s">
        <v>53</v>
      </c>
      <c r="F42" s="45"/>
    </row>
    <row r="43" spans="1:16" x14ac:dyDescent="0.25">
      <c r="B43" s="75" t="s">
        <v>54</v>
      </c>
    </row>
    <row r="45" spans="1:16" x14ac:dyDescent="0.25">
      <c r="F45" s="45"/>
    </row>
  </sheetData>
  <mergeCells count="18">
    <mergeCell ref="B36:H36"/>
    <mergeCell ref="D37:J37"/>
    <mergeCell ref="O3:P3"/>
    <mergeCell ref="Q3:R3"/>
    <mergeCell ref="I4:J4"/>
    <mergeCell ref="K4:L4"/>
    <mergeCell ref="M4:N4"/>
    <mergeCell ref="O4:P4"/>
    <mergeCell ref="Q4:Q5"/>
    <mergeCell ref="R4:R5"/>
    <mergeCell ref="A1:N1"/>
    <mergeCell ref="A3:A5"/>
    <mergeCell ref="B3:B5"/>
    <mergeCell ref="C3:D4"/>
    <mergeCell ref="E3:F4"/>
    <mergeCell ref="G3:H4"/>
    <mergeCell ref="I3:L3"/>
    <mergeCell ref="M3:N3"/>
  </mergeCells>
  <hyperlinks>
    <hyperlink ref="B37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5"/>
  <sheetViews>
    <sheetView view="pageBreakPreview" zoomScaleNormal="100" zoomScaleSheetLayoutView="100" workbookViewId="0">
      <selection activeCell="K15" sqref="K15"/>
    </sheetView>
  </sheetViews>
  <sheetFormatPr defaultRowHeight="15" x14ac:dyDescent="0.25"/>
  <cols>
    <col min="1" max="1" width="7.42578125" style="2" customWidth="1"/>
    <col min="2" max="2" width="32.5703125" style="2" customWidth="1"/>
    <col min="3" max="3" width="12.7109375" style="2" customWidth="1"/>
    <col min="4" max="4" width="14" style="2" customWidth="1"/>
    <col min="5" max="5" width="14.5703125" style="2" customWidth="1"/>
    <col min="6" max="6" width="12.42578125" style="2" customWidth="1"/>
    <col min="7" max="7" width="14.42578125" style="2" customWidth="1"/>
    <col min="8" max="9" width="12.7109375" style="2" customWidth="1"/>
    <col min="10" max="11" width="11.7109375" style="2" customWidth="1"/>
    <col min="12" max="12" width="13.42578125" style="2" customWidth="1"/>
    <col min="13" max="13" width="11.7109375" style="2" customWidth="1"/>
    <col min="14" max="16" width="13.5703125" style="2" customWidth="1"/>
    <col min="17" max="17" width="14.85546875" style="2" customWidth="1"/>
    <col min="18" max="18" width="15" style="2" customWidth="1"/>
    <col min="19" max="16384" width="9.140625" style="2"/>
  </cols>
  <sheetData>
    <row r="1" spans="1:18" ht="30.75" customHeight="1" x14ac:dyDescent="0.25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88"/>
      <c r="P1" s="88"/>
    </row>
    <row r="2" spans="1:18" x14ac:dyDescent="0.25">
      <c r="O2" s="3"/>
      <c r="P2" s="3" t="s">
        <v>1</v>
      </c>
    </row>
    <row r="3" spans="1:18" ht="51" customHeight="1" x14ac:dyDescent="0.25">
      <c r="A3" s="111" t="s">
        <v>2</v>
      </c>
      <c r="B3" s="111" t="s">
        <v>3</v>
      </c>
      <c r="C3" s="112" t="s">
        <v>4</v>
      </c>
      <c r="D3" s="113"/>
      <c r="E3" s="112" t="s">
        <v>5</v>
      </c>
      <c r="F3" s="113"/>
      <c r="G3" s="112" t="s">
        <v>6</v>
      </c>
      <c r="H3" s="113"/>
      <c r="I3" s="116" t="s">
        <v>7</v>
      </c>
      <c r="J3" s="117"/>
      <c r="K3" s="117"/>
      <c r="L3" s="118"/>
      <c r="M3" s="111" t="s">
        <v>8</v>
      </c>
      <c r="N3" s="111"/>
      <c r="O3" s="111" t="s">
        <v>9</v>
      </c>
      <c r="P3" s="111"/>
      <c r="Q3" s="128"/>
      <c r="R3" s="128"/>
    </row>
    <row r="4" spans="1:18" ht="72" customHeight="1" x14ac:dyDescent="0.25">
      <c r="A4" s="111"/>
      <c r="B4" s="111"/>
      <c r="C4" s="114"/>
      <c r="D4" s="115"/>
      <c r="E4" s="114"/>
      <c r="F4" s="115"/>
      <c r="G4" s="114"/>
      <c r="H4" s="115"/>
      <c r="I4" s="116" t="s">
        <v>11</v>
      </c>
      <c r="J4" s="118"/>
      <c r="K4" s="116" t="s">
        <v>63</v>
      </c>
      <c r="L4" s="118"/>
      <c r="M4" s="111" t="s">
        <v>11</v>
      </c>
      <c r="N4" s="111"/>
      <c r="O4" s="111" t="s">
        <v>11</v>
      </c>
      <c r="P4" s="111"/>
      <c r="Q4" s="129"/>
      <c r="R4" s="130"/>
    </row>
    <row r="5" spans="1:18" ht="15" customHeight="1" x14ac:dyDescent="0.25">
      <c r="A5" s="111"/>
      <c r="B5" s="111"/>
      <c r="C5" s="87" t="s">
        <v>55</v>
      </c>
      <c r="D5" s="6">
        <v>44044</v>
      </c>
      <c r="E5" s="87" t="str">
        <f>C5</f>
        <v xml:space="preserve"> 01.01.2020</v>
      </c>
      <c r="F5" s="6">
        <f>D5</f>
        <v>44044</v>
      </c>
      <c r="G5" s="87" t="str">
        <f>C5</f>
        <v xml:space="preserve"> 01.01.2020</v>
      </c>
      <c r="H5" s="6">
        <f>D5</f>
        <v>44044</v>
      </c>
      <c r="I5" s="6" t="str">
        <f>C5</f>
        <v xml:space="preserve"> 01.01.2020</v>
      </c>
      <c r="J5" s="6">
        <f>D5</f>
        <v>44044</v>
      </c>
      <c r="K5" s="6" t="str">
        <f>C5</f>
        <v xml:space="preserve"> 01.01.2020</v>
      </c>
      <c r="L5" s="6">
        <f>D5</f>
        <v>44044</v>
      </c>
      <c r="M5" s="87" t="str">
        <f>C5</f>
        <v xml:space="preserve"> 01.01.2020</v>
      </c>
      <c r="N5" s="6">
        <f>D5</f>
        <v>44044</v>
      </c>
      <c r="O5" s="87" t="str">
        <f>E5</f>
        <v xml:space="preserve"> 01.01.2020</v>
      </c>
      <c r="P5" s="6">
        <f>F5</f>
        <v>44044</v>
      </c>
      <c r="Q5" s="129"/>
      <c r="R5" s="129"/>
    </row>
    <row r="6" spans="1:18" ht="15.75" customHeight="1" x14ac:dyDescent="0.25">
      <c r="A6" s="87">
        <v>1</v>
      </c>
      <c r="B6" s="87">
        <v>2</v>
      </c>
      <c r="C6" s="87">
        <v>3</v>
      </c>
      <c r="D6" s="87">
        <v>4</v>
      </c>
      <c r="E6" s="87">
        <v>5</v>
      </c>
      <c r="F6" s="87">
        <v>6</v>
      </c>
      <c r="G6" s="87">
        <v>7</v>
      </c>
      <c r="H6" s="87">
        <v>8</v>
      </c>
      <c r="I6" s="7">
        <v>9</v>
      </c>
      <c r="J6" s="7">
        <v>10</v>
      </c>
      <c r="K6" s="7">
        <v>11</v>
      </c>
      <c r="L6" s="87">
        <v>12</v>
      </c>
      <c r="M6" s="87">
        <v>13</v>
      </c>
      <c r="N6" s="87">
        <v>14</v>
      </c>
      <c r="O6" s="87">
        <v>15</v>
      </c>
      <c r="P6" s="87">
        <v>16</v>
      </c>
      <c r="Q6" s="89"/>
      <c r="R6" s="89"/>
    </row>
    <row r="7" spans="1:18" ht="15.75" x14ac:dyDescent="0.25">
      <c r="A7" s="9">
        <v>1</v>
      </c>
      <c r="B7" s="10" t="s">
        <v>15</v>
      </c>
      <c r="C7" s="11" t="s">
        <v>16</v>
      </c>
      <c r="D7" s="11" t="s">
        <v>16</v>
      </c>
      <c r="E7" s="11">
        <f>E8+E10+E9</f>
        <v>53600.531910000005</v>
      </c>
      <c r="F7" s="11">
        <f>F8+F10+F9</f>
        <v>67393.095480000004</v>
      </c>
      <c r="G7" s="11" t="s">
        <v>16</v>
      </c>
      <c r="H7" s="11" t="s">
        <v>16</v>
      </c>
      <c r="I7" s="12">
        <v>19788.080000000002</v>
      </c>
      <c r="J7" s="66">
        <v>19307</v>
      </c>
      <c r="K7" s="53" t="s">
        <v>16</v>
      </c>
      <c r="L7" s="53"/>
      <c r="M7" s="12">
        <f>'[1]01.05.2018'!N7</f>
        <v>2685.86</v>
      </c>
      <c r="N7" s="46">
        <f>M7</f>
        <v>2685.86</v>
      </c>
      <c r="O7" s="12">
        <v>15024.05</v>
      </c>
      <c r="P7" s="58">
        <v>17541.43</v>
      </c>
      <c r="Q7" s="67"/>
      <c r="R7" s="67"/>
    </row>
    <row r="8" spans="1:18" ht="17.25" customHeight="1" x14ac:dyDescent="0.25">
      <c r="A8" s="14" t="s">
        <v>17</v>
      </c>
      <c r="B8" s="15" t="s">
        <v>18</v>
      </c>
      <c r="C8" s="11" t="s">
        <v>16</v>
      </c>
      <c r="D8" s="11" t="s">
        <v>16</v>
      </c>
      <c r="E8" s="12">
        <f>3804630.15/1000</f>
        <v>3804.63015</v>
      </c>
      <c r="F8" s="58">
        <f>4037564.59/1000</f>
        <v>4037.56459</v>
      </c>
      <c r="G8" s="11" t="s">
        <v>16</v>
      </c>
      <c r="H8" s="11" t="s">
        <v>16</v>
      </c>
      <c r="I8" s="53" t="s">
        <v>16</v>
      </c>
      <c r="J8" s="53" t="s">
        <v>16</v>
      </c>
      <c r="K8" s="53" t="s">
        <v>16</v>
      </c>
      <c r="L8" s="53"/>
      <c r="M8" s="11" t="s">
        <v>16</v>
      </c>
      <c r="N8" s="11" t="s">
        <v>16</v>
      </c>
      <c r="O8" s="11" t="s">
        <v>16</v>
      </c>
      <c r="P8" s="11" t="s">
        <v>16</v>
      </c>
      <c r="Q8" s="67"/>
      <c r="R8" s="41"/>
    </row>
    <row r="9" spans="1:18" ht="44.25" customHeight="1" x14ac:dyDescent="0.25">
      <c r="A9" s="14" t="s">
        <v>19</v>
      </c>
      <c r="B9" s="16" t="s">
        <v>20</v>
      </c>
      <c r="C9" s="11" t="s">
        <v>16</v>
      </c>
      <c r="D9" s="11" t="s">
        <v>16</v>
      </c>
      <c r="E9" s="12">
        <f>[2]TDSheet!$K$154/1000</f>
        <v>49757.100100000003</v>
      </c>
      <c r="F9" s="11">
        <f>63277841.6/1000</f>
        <v>63277.8416</v>
      </c>
      <c r="G9" s="11" t="s">
        <v>16</v>
      </c>
      <c r="H9" s="11" t="s">
        <v>16</v>
      </c>
      <c r="I9" s="53" t="s">
        <v>16</v>
      </c>
      <c r="J9" s="53" t="s">
        <v>16</v>
      </c>
      <c r="K9" s="53" t="s">
        <v>16</v>
      </c>
      <c r="L9" s="53"/>
      <c r="M9" s="11" t="s">
        <v>16</v>
      </c>
      <c r="N9" s="11" t="s">
        <v>16</v>
      </c>
      <c r="O9" s="11" t="s">
        <v>16</v>
      </c>
      <c r="P9" s="11" t="s">
        <v>16</v>
      </c>
      <c r="Q9" s="67"/>
      <c r="R9" s="41"/>
    </row>
    <row r="10" spans="1:18" ht="15.75" x14ac:dyDescent="0.25">
      <c r="A10" s="14" t="s">
        <v>21</v>
      </c>
      <c r="B10" s="17" t="s">
        <v>22</v>
      </c>
      <c r="C10" s="11" t="s">
        <v>16</v>
      </c>
      <c r="D10" s="11" t="s">
        <v>16</v>
      </c>
      <c r="E10" s="12">
        <f>38801.66/1000</f>
        <v>38.801660000000005</v>
      </c>
      <c r="F10" s="58">
        <f>77689.29/1000</f>
        <v>77.68929</v>
      </c>
      <c r="G10" s="11" t="s">
        <v>16</v>
      </c>
      <c r="H10" s="11" t="s">
        <v>16</v>
      </c>
      <c r="I10" s="53" t="s">
        <v>16</v>
      </c>
      <c r="J10" s="53" t="s">
        <v>16</v>
      </c>
      <c r="K10" s="53" t="s">
        <v>16</v>
      </c>
      <c r="L10" s="53"/>
      <c r="M10" s="11" t="s">
        <v>16</v>
      </c>
      <c r="N10" s="11" t="s">
        <v>16</v>
      </c>
      <c r="O10" s="11" t="s">
        <v>16</v>
      </c>
      <c r="P10" s="11" t="s">
        <v>16</v>
      </c>
      <c r="Q10" s="67"/>
      <c r="R10" s="41"/>
    </row>
    <row r="11" spans="1:18" ht="15.75" x14ac:dyDescent="0.25">
      <c r="A11" s="14">
        <v>2</v>
      </c>
      <c r="B11" s="18" t="s">
        <v>23</v>
      </c>
      <c r="C11" s="11">
        <v>5650.03</v>
      </c>
      <c r="D11" s="11">
        <f>[12]Свод!$L$7</f>
        <v>5464.92</v>
      </c>
      <c r="E11" s="11">
        <v>15925</v>
      </c>
      <c r="F11" s="58">
        <v>15955</v>
      </c>
      <c r="G11" s="11" t="s">
        <v>24</v>
      </c>
      <c r="H11" s="11" t="s">
        <v>24</v>
      </c>
      <c r="I11" s="53" t="s">
        <v>16</v>
      </c>
      <c r="J11" s="53" t="s">
        <v>16</v>
      </c>
      <c r="K11" s="12">
        <v>6.36</v>
      </c>
      <c r="L11" s="53">
        <v>0</v>
      </c>
      <c r="M11" s="11" t="s">
        <v>16</v>
      </c>
      <c r="N11" s="11" t="s">
        <v>16</v>
      </c>
      <c r="O11" s="11" t="s">
        <v>16</v>
      </c>
      <c r="P11" s="11" t="s">
        <v>16</v>
      </c>
      <c r="Q11" s="67"/>
      <c r="R11" s="67"/>
    </row>
    <row r="12" spans="1:18" ht="15.75" x14ac:dyDescent="0.25">
      <c r="A12" s="14">
        <f>A11+1</f>
        <v>3</v>
      </c>
      <c r="B12" s="18" t="s">
        <v>25</v>
      </c>
      <c r="C12" s="11">
        <f>'[6]01.01.2020'!$D$12</f>
        <v>673.89999999999964</v>
      </c>
      <c r="D12" s="11">
        <f>[12]Свод!$L$8</f>
        <v>549.10000000000036</v>
      </c>
      <c r="E12" s="11">
        <v>112</v>
      </c>
      <c r="F12" s="58">
        <v>95</v>
      </c>
      <c r="G12" s="11" t="s">
        <v>24</v>
      </c>
      <c r="H12" s="11" t="s">
        <v>24</v>
      </c>
      <c r="I12" s="53" t="s">
        <v>16</v>
      </c>
      <c r="J12" s="53" t="s">
        <v>16</v>
      </c>
      <c r="K12" s="12">
        <v>0</v>
      </c>
      <c r="L12" s="53">
        <v>0</v>
      </c>
      <c r="M12" s="11" t="s">
        <v>16</v>
      </c>
      <c r="N12" s="11" t="s">
        <v>16</v>
      </c>
      <c r="O12" s="11" t="s">
        <v>16</v>
      </c>
      <c r="P12" s="11" t="s">
        <v>16</v>
      </c>
      <c r="Q12" s="67"/>
      <c r="R12" s="67"/>
    </row>
    <row r="13" spans="1:18" ht="18" customHeight="1" x14ac:dyDescent="0.25">
      <c r="A13" s="14">
        <f t="shared" ref="A13:A14" si="0">A12+1</f>
        <v>4</v>
      </c>
      <c r="B13" s="18" t="s">
        <v>26</v>
      </c>
      <c r="C13" s="11">
        <f>'[6]01.01.2020'!$D$13</f>
        <v>20434.799999999988</v>
      </c>
      <c r="D13" s="11">
        <f>[12]Свод!$L$9</f>
        <v>16764.000000000004</v>
      </c>
      <c r="E13" s="11">
        <v>26253</v>
      </c>
      <c r="F13" s="58">
        <v>20228</v>
      </c>
      <c r="G13" s="11" t="s">
        <v>24</v>
      </c>
      <c r="H13" s="11" t="s">
        <v>24</v>
      </c>
      <c r="I13" s="53" t="s">
        <v>16</v>
      </c>
      <c r="J13" s="53" t="s">
        <v>16</v>
      </c>
      <c r="K13" s="12">
        <v>22.36</v>
      </c>
      <c r="L13" s="53">
        <v>51.24</v>
      </c>
      <c r="M13" s="11" t="s">
        <v>16</v>
      </c>
      <c r="N13" s="11" t="s">
        <v>16</v>
      </c>
      <c r="O13" s="11" t="s">
        <v>16</v>
      </c>
      <c r="P13" s="11" t="s">
        <v>16</v>
      </c>
      <c r="Q13" s="67"/>
      <c r="R13" s="67"/>
    </row>
    <row r="14" spans="1:18" ht="31.5" x14ac:dyDescent="0.25">
      <c r="A14" s="14">
        <f t="shared" si="0"/>
        <v>5</v>
      </c>
      <c r="B14" s="18" t="s">
        <v>27</v>
      </c>
      <c r="C14" s="11">
        <f>'[6]01.01.2020'!$D$14</f>
        <v>10040.79999999999</v>
      </c>
      <c r="D14" s="11">
        <f>[12]Свод!$L$10</f>
        <v>10808.700000000003</v>
      </c>
      <c r="E14" s="11">
        <v>1130</v>
      </c>
      <c r="F14" s="58">
        <v>112</v>
      </c>
      <c r="G14" s="11" t="s">
        <v>24</v>
      </c>
      <c r="H14" s="11" t="s">
        <v>24</v>
      </c>
      <c r="I14" s="53" t="s">
        <v>16</v>
      </c>
      <c r="J14" s="53" t="s">
        <v>16</v>
      </c>
      <c r="K14" s="12">
        <v>0</v>
      </c>
      <c r="L14" s="53">
        <v>0</v>
      </c>
      <c r="M14" s="11" t="s">
        <v>16</v>
      </c>
      <c r="N14" s="11" t="s">
        <v>16</v>
      </c>
      <c r="O14" s="11" t="s">
        <v>16</v>
      </c>
      <c r="P14" s="11" t="s">
        <v>16</v>
      </c>
      <c r="Q14" s="67"/>
      <c r="R14" s="67"/>
    </row>
    <row r="15" spans="1:18" ht="15.75" x14ac:dyDescent="0.25">
      <c r="A15" s="14">
        <f>A14+1</f>
        <v>6</v>
      </c>
      <c r="B15" s="18" t="s">
        <v>28</v>
      </c>
      <c r="C15" s="11">
        <f>'[6]01.01.2020'!$D$15</f>
        <v>30846.32999999998</v>
      </c>
      <c r="D15" s="11">
        <f>[12]Свод!$L$11</f>
        <v>30846.329999999998</v>
      </c>
      <c r="E15" s="11">
        <v>46515</v>
      </c>
      <c r="F15" s="58">
        <v>46517</v>
      </c>
      <c r="G15" s="11" t="s">
        <v>29</v>
      </c>
      <c r="H15" s="11" t="s">
        <v>29</v>
      </c>
      <c r="I15" s="53" t="s">
        <v>16</v>
      </c>
      <c r="J15" s="53" t="s">
        <v>16</v>
      </c>
      <c r="K15" s="12">
        <v>209.4</v>
      </c>
      <c r="L15" s="53">
        <v>209.4</v>
      </c>
      <c r="M15" s="11" t="s">
        <v>16</v>
      </c>
      <c r="N15" s="11" t="s">
        <v>16</v>
      </c>
      <c r="O15" s="11" t="s">
        <v>16</v>
      </c>
      <c r="P15" s="11" t="s">
        <v>16</v>
      </c>
      <c r="Q15" s="67"/>
      <c r="R15" s="67"/>
    </row>
    <row r="16" spans="1:18" ht="17.25" customHeight="1" x14ac:dyDescent="0.25">
      <c r="A16" s="14">
        <f t="shared" ref="A16:A27" si="1">A15+1</f>
        <v>7</v>
      </c>
      <c r="B16" s="19" t="s">
        <v>30</v>
      </c>
      <c r="C16" s="11">
        <f>'[6]01.01.2020'!$D$16</f>
        <v>2252</v>
      </c>
      <c r="D16" s="11">
        <f>[12]Свод!$L$13</f>
        <v>2252</v>
      </c>
      <c r="E16" s="11" t="s">
        <v>31</v>
      </c>
      <c r="F16" s="53" t="s">
        <v>31</v>
      </c>
      <c r="G16" s="11" t="s">
        <v>32</v>
      </c>
      <c r="H16" s="11" t="s">
        <v>29</v>
      </c>
      <c r="I16" s="53" t="s">
        <v>16</v>
      </c>
      <c r="J16" s="53" t="s">
        <v>16</v>
      </c>
      <c r="K16" s="12" t="s">
        <v>29</v>
      </c>
      <c r="L16" s="53"/>
      <c r="M16" s="11" t="s">
        <v>16</v>
      </c>
      <c r="N16" s="11" t="s">
        <v>16</v>
      </c>
      <c r="O16" s="11" t="s">
        <v>16</v>
      </c>
      <c r="P16" s="11" t="s">
        <v>16</v>
      </c>
      <c r="Q16" s="67"/>
      <c r="R16" s="67"/>
    </row>
    <row r="17" spans="1:18" ht="15.75" x14ac:dyDescent="0.25">
      <c r="A17" s="14">
        <f t="shared" si="1"/>
        <v>8</v>
      </c>
      <c r="B17" s="18" t="s">
        <v>33</v>
      </c>
      <c r="C17" s="11">
        <f>'[6]01.01.2020'!$D$17</f>
        <v>61241.929999999978</v>
      </c>
      <c r="D17" s="12">
        <f>[12]Свод!$L$14</f>
        <v>59502.409999999996</v>
      </c>
      <c r="E17" s="11">
        <v>51560</v>
      </c>
      <c r="F17" s="58">
        <v>52768</v>
      </c>
      <c r="G17" s="11" t="s">
        <v>29</v>
      </c>
      <c r="H17" s="11" t="s">
        <v>29</v>
      </c>
      <c r="I17" s="53" t="s">
        <v>16</v>
      </c>
      <c r="J17" s="53" t="s">
        <v>16</v>
      </c>
      <c r="K17" s="12">
        <v>0</v>
      </c>
      <c r="L17" s="53">
        <v>13.36</v>
      </c>
      <c r="M17" s="11" t="s">
        <v>16</v>
      </c>
      <c r="N17" s="11" t="s">
        <v>16</v>
      </c>
      <c r="O17" s="11" t="s">
        <v>16</v>
      </c>
      <c r="P17" s="11" t="s">
        <v>16</v>
      </c>
      <c r="Q17" s="67"/>
      <c r="R17" s="67"/>
    </row>
    <row r="18" spans="1:18" ht="15.75" x14ac:dyDescent="0.25">
      <c r="A18" s="14">
        <f t="shared" si="1"/>
        <v>9</v>
      </c>
      <c r="B18" s="18" t="s">
        <v>34</v>
      </c>
      <c r="C18" s="11">
        <v>17219.330000000002</v>
      </c>
      <c r="D18" s="12">
        <f>[12]Свод!$L$15</f>
        <v>17029.099999999999</v>
      </c>
      <c r="E18" s="11">
        <v>8820</v>
      </c>
      <c r="F18" s="58">
        <v>8559</v>
      </c>
      <c r="G18" s="11" t="str">
        <f>'[4]01.01.2016'!H19</f>
        <v>-</v>
      </c>
      <c r="H18" s="11" t="s">
        <v>24</v>
      </c>
      <c r="I18" s="53" t="s">
        <v>16</v>
      </c>
      <c r="J18" s="53" t="s">
        <v>16</v>
      </c>
      <c r="K18" s="12">
        <v>0</v>
      </c>
      <c r="L18" s="53">
        <v>0</v>
      </c>
      <c r="M18" s="11" t="s">
        <v>16</v>
      </c>
      <c r="N18" s="11" t="s">
        <v>16</v>
      </c>
      <c r="O18" s="11" t="s">
        <v>16</v>
      </c>
      <c r="P18" s="11" t="s">
        <v>16</v>
      </c>
      <c r="Q18" s="67"/>
      <c r="R18" s="67"/>
    </row>
    <row r="19" spans="1:18" ht="15.75" x14ac:dyDescent="0.25">
      <c r="A19" s="14">
        <f t="shared" si="1"/>
        <v>10</v>
      </c>
      <c r="B19" s="18" t="s">
        <v>35</v>
      </c>
      <c r="C19" s="11">
        <f>'[6]01.01.2020'!$D$19</f>
        <v>9515.3999999999978</v>
      </c>
      <c r="D19" s="11">
        <f>[12]Свод!$L$16</f>
        <v>9490.8000000000011</v>
      </c>
      <c r="E19" s="11">
        <v>4883</v>
      </c>
      <c r="F19" s="58">
        <v>4496</v>
      </c>
      <c r="G19" s="11" t="s">
        <v>29</v>
      </c>
      <c r="H19" s="11" t="s">
        <v>29</v>
      </c>
      <c r="I19" s="53" t="s">
        <v>16</v>
      </c>
      <c r="J19" s="53" t="s">
        <v>16</v>
      </c>
      <c r="K19" s="12">
        <v>0</v>
      </c>
      <c r="L19" s="53">
        <v>0</v>
      </c>
      <c r="M19" s="11" t="s">
        <v>16</v>
      </c>
      <c r="N19" s="11" t="s">
        <v>16</v>
      </c>
      <c r="O19" s="11" t="s">
        <v>16</v>
      </c>
      <c r="P19" s="11" t="s">
        <v>16</v>
      </c>
      <c r="Q19" s="67"/>
      <c r="R19" s="67"/>
    </row>
    <row r="20" spans="1:18" ht="15.75" x14ac:dyDescent="0.25">
      <c r="A20" s="14">
        <f t="shared" si="1"/>
        <v>11</v>
      </c>
      <c r="B20" s="18" t="s">
        <v>36</v>
      </c>
      <c r="C20" s="11">
        <f>'[6]01.01.2020'!$D$20</f>
        <v>6023.6200000000044</v>
      </c>
      <c r="D20" s="11">
        <f>[12]Свод!$L$12</f>
        <v>7176.4200000000028</v>
      </c>
      <c r="E20" s="11">
        <v>163</v>
      </c>
      <c r="F20" s="58">
        <v>120</v>
      </c>
      <c r="G20" s="11" t="s">
        <v>29</v>
      </c>
      <c r="H20" s="11" t="s">
        <v>29</v>
      </c>
      <c r="I20" s="53" t="s">
        <v>16</v>
      </c>
      <c r="J20" s="53" t="s">
        <v>16</v>
      </c>
      <c r="K20" s="12">
        <v>0</v>
      </c>
      <c r="L20" s="53">
        <v>4.74</v>
      </c>
      <c r="M20" s="11" t="s">
        <v>16</v>
      </c>
      <c r="N20" s="11" t="s">
        <v>16</v>
      </c>
      <c r="O20" s="11" t="s">
        <v>16</v>
      </c>
      <c r="P20" s="11" t="s">
        <v>16</v>
      </c>
      <c r="Q20" s="67"/>
      <c r="R20" s="67"/>
    </row>
    <row r="21" spans="1:18" ht="15.75" x14ac:dyDescent="0.25">
      <c r="A21" s="14">
        <f t="shared" si="1"/>
        <v>12</v>
      </c>
      <c r="B21" s="18" t="s">
        <v>37</v>
      </c>
      <c r="C21" s="11">
        <f>'[6]01.01.2020'!$D$21</f>
        <v>5118.8900000000049</v>
      </c>
      <c r="D21" s="11">
        <f>[12]Свод!$L$17</f>
        <v>6132.6099999999988</v>
      </c>
      <c r="E21" s="11">
        <v>1582</v>
      </c>
      <c r="F21" s="58">
        <v>1036</v>
      </c>
      <c r="G21" s="11" t="s">
        <v>24</v>
      </c>
      <c r="H21" s="11" t="s">
        <v>24</v>
      </c>
      <c r="I21" s="53" t="s">
        <v>16</v>
      </c>
      <c r="J21" s="53" t="s">
        <v>16</v>
      </c>
      <c r="K21" s="12">
        <v>0</v>
      </c>
      <c r="L21" s="53">
        <v>0</v>
      </c>
      <c r="M21" s="11" t="s">
        <v>16</v>
      </c>
      <c r="N21" s="11" t="s">
        <v>16</v>
      </c>
      <c r="O21" s="11" t="s">
        <v>16</v>
      </c>
      <c r="P21" s="11" t="s">
        <v>16</v>
      </c>
      <c r="Q21" s="67"/>
      <c r="R21" s="67"/>
    </row>
    <row r="22" spans="1:18" ht="15.75" x14ac:dyDescent="0.25">
      <c r="A22" s="14">
        <f t="shared" si="1"/>
        <v>13</v>
      </c>
      <c r="B22" s="18" t="s">
        <v>38</v>
      </c>
      <c r="C22" s="11">
        <f>'[6]01.01.2020'!$D$22</f>
        <v>804.08999999999992</v>
      </c>
      <c r="D22" s="11">
        <f>[12]Свод!$L$18</f>
        <v>1739.29</v>
      </c>
      <c r="E22" s="11">
        <v>35</v>
      </c>
      <c r="F22" s="58">
        <v>18</v>
      </c>
      <c r="G22" s="11" t="s">
        <v>24</v>
      </c>
      <c r="H22" s="11" t="s">
        <v>24</v>
      </c>
      <c r="I22" s="53" t="s">
        <v>16</v>
      </c>
      <c r="J22" s="53" t="s">
        <v>16</v>
      </c>
      <c r="K22" s="12">
        <v>0</v>
      </c>
      <c r="L22" s="53">
        <v>0</v>
      </c>
      <c r="M22" s="11" t="s">
        <v>16</v>
      </c>
      <c r="N22" s="11" t="s">
        <v>16</v>
      </c>
      <c r="O22" s="11" t="s">
        <v>16</v>
      </c>
      <c r="P22" s="11" t="s">
        <v>16</v>
      </c>
      <c r="Q22" s="67"/>
      <c r="R22" s="67"/>
    </row>
    <row r="23" spans="1:18" ht="15.75" x14ac:dyDescent="0.25">
      <c r="A23" s="14">
        <f t="shared" si="1"/>
        <v>14</v>
      </c>
      <c r="B23" s="18" t="s">
        <v>39</v>
      </c>
      <c r="C23" s="11">
        <f>'[6]01.01.2020'!$D$23</f>
        <v>5355.3780000000006</v>
      </c>
      <c r="D23" s="11">
        <f>[12]Свод!$L$19</f>
        <v>7076.8280000000013</v>
      </c>
      <c r="E23" s="11">
        <v>827</v>
      </c>
      <c r="F23" s="58">
        <v>2381</v>
      </c>
      <c r="G23" s="11" t="s">
        <v>24</v>
      </c>
      <c r="H23" s="11" t="s">
        <v>24</v>
      </c>
      <c r="I23" s="53" t="s">
        <v>16</v>
      </c>
      <c r="J23" s="53" t="s">
        <v>16</v>
      </c>
      <c r="K23" s="12">
        <v>11.77</v>
      </c>
      <c r="L23" s="53">
        <v>1.82</v>
      </c>
      <c r="M23" s="11" t="s">
        <v>16</v>
      </c>
      <c r="N23" s="11" t="s">
        <v>16</v>
      </c>
      <c r="O23" s="11" t="s">
        <v>16</v>
      </c>
      <c r="P23" s="11" t="s">
        <v>16</v>
      </c>
      <c r="Q23" s="67"/>
      <c r="R23" s="67"/>
    </row>
    <row r="24" spans="1:18" ht="15.75" x14ac:dyDescent="0.25">
      <c r="A24" s="14">
        <f t="shared" si="1"/>
        <v>15</v>
      </c>
      <c r="B24" s="18" t="s">
        <v>40</v>
      </c>
      <c r="C24" s="11">
        <f>'[6]01.01.2020'!$D$24</f>
        <v>38062.04</v>
      </c>
      <c r="D24" s="11">
        <f>[12]Свод!$L$20</f>
        <v>38062.04</v>
      </c>
      <c r="E24" s="11">
        <v>188372</v>
      </c>
      <c r="F24" s="58">
        <f>E24</f>
        <v>188372</v>
      </c>
      <c r="G24" s="11">
        <f>'[5]01.01.2018'!$H$23</f>
        <v>3575.81</v>
      </c>
      <c r="H24" s="11">
        <f>G24</f>
        <v>3575.81</v>
      </c>
      <c r="I24" s="53" t="s">
        <v>16</v>
      </c>
      <c r="J24" s="53" t="s">
        <v>16</v>
      </c>
      <c r="K24" s="12">
        <v>0</v>
      </c>
      <c r="L24" s="53">
        <v>0</v>
      </c>
      <c r="M24" s="11" t="s">
        <v>16</v>
      </c>
      <c r="N24" s="11" t="s">
        <v>16</v>
      </c>
      <c r="O24" s="11" t="s">
        <v>16</v>
      </c>
      <c r="P24" s="11" t="s">
        <v>16</v>
      </c>
      <c r="Q24" s="67"/>
      <c r="R24" s="67"/>
    </row>
    <row r="25" spans="1:18" ht="15.75" x14ac:dyDescent="0.25">
      <c r="A25" s="14">
        <f t="shared" si="1"/>
        <v>16</v>
      </c>
      <c r="B25" s="18" t="s">
        <v>41</v>
      </c>
      <c r="C25" s="11">
        <f>'[6]01.01.2020'!$D$25</f>
        <v>4156.6099999999997</v>
      </c>
      <c r="D25" s="12">
        <f>C25</f>
        <v>4156.6099999999997</v>
      </c>
      <c r="E25" s="11" t="s">
        <v>24</v>
      </c>
      <c r="F25" s="58"/>
      <c r="G25" s="11" t="str">
        <f>'[4]01.01.2016'!H24</f>
        <v>-</v>
      </c>
      <c r="H25" s="11" t="s">
        <v>24</v>
      </c>
      <c r="I25" s="53" t="s">
        <v>16</v>
      </c>
      <c r="J25" s="53" t="s">
        <v>16</v>
      </c>
      <c r="K25" s="53" t="s">
        <v>24</v>
      </c>
      <c r="L25" s="53" t="s">
        <v>29</v>
      </c>
      <c r="M25" s="11" t="s">
        <v>24</v>
      </c>
      <c r="N25" s="11" t="s">
        <v>24</v>
      </c>
      <c r="O25" s="11" t="s">
        <v>24</v>
      </c>
      <c r="P25" s="11" t="s">
        <v>24</v>
      </c>
      <c r="Q25" s="67"/>
      <c r="R25" s="89"/>
    </row>
    <row r="26" spans="1:18" ht="15.75" x14ac:dyDescent="0.25">
      <c r="A26" s="14">
        <f t="shared" si="1"/>
        <v>17</v>
      </c>
      <c r="B26" s="18" t="s">
        <v>42</v>
      </c>
      <c r="C26" s="11">
        <f>'[6]01.01.2020'!$D$26</f>
        <v>20182.28</v>
      </c>
      <c r="D26" s="12">
        <f>C26</f>
        <v>20182.28</v>
      </c>
      <c r="E26" s="11">
        <v>46797</v>
      </c>
      <c r="F26" s="58">
        <f>E26</f>
        <v>46797</v>
      </c>
      <c r="G26" s="11" t="str">
        <f>'[4]01.01.2016'!H18</f>
        <v>-</v>
      </c>
      <c r="H26" s="11" t="s">
        <v>24</v>
      </c>
      <c r="I26" s="53" t="s">
        <v>16</v>
      </c>
      <c r="J26" s="53" t="s">
        <v>16</v>
      </c>
      <c r="K26" s="12">
        <v>36.72</v>
      </c>
      <c r="L26" s="53">
        <v>36.72</v>
      </c>
      <c r="M26" s="11" t="s">
        <v>16</v>
      </c>
      <c r="N26" s="11" t="s">
        <v>16</v>
      </c>
      <c r="O26" s="11" t="s">
        <v>16</v>
      </c>
      <c r="P26" s="11" t="s">
        <v>16</v>
      </c>
      <c r="Q26" s="67"/>
      <c r="R26" s="67"/>
    </row>
    <row r="27" spans="1:18" ht="15.75" x14ac:dyDescent="0.25">
      <c r="A27" s="14">
        <f t="shared" si="1"/>
        <v>18</v>
      </c>
      <c r="B27" s="20" t="s">
        <v>43</v>
      </c>
      <c r="C27" s="21">
        <f>SUM(C11:C26)</f>
        <v>237577.42799999993</v>
      </c>
      <c r="D27" s="21">
        <f>SUM(D11:D26)</f>
        <v>237233.43799999999</v>
      </c>
      <c r="E27" s="21">
        <f>SUM(E11:E26)+E7</f>
        <v>446574.53191000002</v>
      </c>
      <c r="F27" s="21">
        <f>SUM(F11:F26)+F7</f>
        <v>454847.09548000002</v>
      </c>
      <c r="G27" s="21">
        <f>SUM(G7:G26)</f>
        <v>3575.81</v>
      </c>
      <c r="H27" s="21">
        <f>SUM(H7:H26)</f>
        <v>3575.81</v>
      </c>
      <c r="I27" s="21">
        <f>SUM(I7)</f>
        <v>19788.080000000002</v>
      </c>
      <c r="J27" s="21">
        <f>SUM(J7)</f>
        <v>19307</v>
      </c>
      <c r="K27" s="21">
        <f>SUM(K11:K26)</f>
        <v>286.61</v>
      </c>
      <c r="L27" s="21">
        <f>SUM(L11:L26)</f>
        <v>317.27999999999997</v>
      </c>
      <c r="M27" s="21">
        <f>SUM(M7:M25)</f>
        <v>2685.86</v>
      </c>
      <c r="N27" s="21">
        <f>SUM(N7:N25)</f>
        <v>2685.86</v>
      </c>
      <c r="O27" s="21">
        <f>SUM(O7:O25)</f>
        <v>15024.05</v>
      </c>
      <c r="P27" s="21">
        <f>SUM(P7:P25)</f>
        <v>17541.43</v>
      </c>
      <c r="Q27" s="67"/>
      <c r="R27" s="67"/>
    </row>
    <row r="28" spans="1:18" ht="15.75" x14ac:dyDescent="0.25">
      <c r="A28" s="89"/>
      <c r="B28" s="23"/>
      <c r="C28" s="24"/>
      <c r="D28" s="24"/>
      <c r="E28" s="24"/>
      <c r="F28" s="45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45"/>
      <c r="R28" s="45"/>
    </row>
    <row r="29" spans="1:18" ht="15.75" x14ac:dyDescent="0.25">
      <c r="A29" s="89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45"/>
    </row>
    <row r="30" spans="1:18" ht="15.75" x14ac:dyDescent="0.25">
      <c r="A30" s="89"/>
      <c r="B30" s="54" t="s">
        <v>44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8" ht="15.75" x14ac:dyDescent="0.25">
      <c r="A31" s="89"/>
      <c r="B31" s="2" t="s">
        <v>45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ht="15.75" x14ac:dyDescent="0.25">
      <c r="A32" s="89"/>
      <c r="B32" s="2" t="s">
        <v>56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5.75" x14ac:dyDescent="0.25">
      <c r="A33" s="89"/>
      <c r="B33" s="55" t="s">
        <v>57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5.75" x14ac:dyDescent="0.25">
      <c r="A34" s="89"/>
      <c r="B34" s="2" t="s">
        <v>48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6.5" thickBot="1" x14ac:dyDescent="0.3">
      <c r="A35" s="89"/>
      <c r="B35" s="2" t="s">
        <v>62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6.5" thickBot="1" x14ac:dyDescent="0.3">
      <c r="A36" s="89"/>
      <c r="B36" s="135" t="s">
        <v>61</v>
      </c>
      <c r="C36" s="136"/>
      <c r="D36" s="136"/>
      <c r="E36" s="136"/>
      <c r="F36" s="136"/>
      <c r="G36" s="136"/>
      <c r="H36" s="137"/>
      <c r="I36" s="24"/>
      <c r="J36" s="24"/>
      <c r="K36" s="24"/>
      <c r="L36" s="24"/>
      <c r="M36" s="24"/>
      <c r="N36" s="24"/>
      <c r="O36" s="24"/>
      <c r="P36" s="24"/>
    </row>
    <row r="37" spans="1:16" ht="75.75" thickBot="1" x14ac:dyDescent="0.3">
      <c r="A37" s="89"/>
      <c r="B37" s="68" t="s">
        <v>49</v>
      </c>
      <c r="C37" s="24"/>
      <c r="D37" s="131" t="s">
        <v>60</v>
      </c>
      <c r="E37" s="132"/>
      <c r="F37" s="132"/>
      <c r="G37" s="132"/>
      <c r="H37" s="132"/>
      <c r="I37" s="133"/>
      <c r="J37" s="134"/>
      <c r="K37" s="86"/>
      <c r="L37" s="86"/>
      <c r="M37" s="86"/>
      <c r="N37" s="24"/>
      <c r="O37" s="24"/>
      <c r="P37" s="24"/>
    </row>
    <row r="38" spans="1:16" ht="15.75" x14ac:dyDescent="0.25">
      <c r="A38" s="89"/>
      <c r="B38" s="68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ht="15.75" x14ac:dyDescent="0.25">
      <c r="A39" s="89"/>
      <c r="B39" s="29" t="s">
        <v>50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s="69" customFormat="1" x14ac:dyDescent="0.25">
      <c r="B40" s="70" t="s">
        <v>51</v>
      </c>
      <c r="C40" s="71"/>
      <c r="D40" s="71"/>
      <c r="E40" s="71"/>
      <c r="F40" s="71"/>
      <c r="G40" s="72"/>
      <c r="L40" s="73"/>
    </row>
    <row r="41" spans="1:16" x14ac:dyDescent="0.25">
      <c r="B41" s="74" t="s">
        <v>52</v>
      </c>
      <c r="D41" s="45"/>
      <c r="F41" s="45"/>
    </row>
    <row r="42" spans="1:16" x14ac:dyDescent="0.25">
      <c r="B42" s="29" t="s">
        <v>53</v>
      </c>
      <c r="F42" s="45"/>
    </row>
    <row r="43" spans="1:16" x14ac:dyDescent="0.25">
      <c r="B43" s="75" t="s">
        <v>54</v>
      </c>
    </row>
    <row r="45" spans="1:16" x14ac:dyDescent="0.25">
      <c r="F45" s="45"/>
    </row>
  </sheetData>
  <mergeCells count="18">
    <mergeCell ref="B36:H36"/>
    <mergeCell ref="D37:J37"/>
    <mergeCell ref="O3:P3"/>
    <mergeCell ref="Q3:R3"/>
    <mergeCell ref="I4:J4"/>
    <mergeCell ref="K4:L4"/>
    <mergeCell ref="M4:N4"/>
    <mergeCell ref="O4:P4"/>
    <mergeCell ref="Q4:Q5"/>
    <mergeCell ref="R4:R5"/>
    <mergeCell ref="A1:N1"/>
    <mergeCell ref="A3:A5"/>
    <mergeCell ref="B3:B5"/>
    <mergeCell ref="C3:D4"/>
    <mergeCell ref="E3:F4"/>
    <mergeCell ref="G3:H4"/>
    <mergeCell ref="I3:L3"/>
    <mergeCell ref="M3:N3"/>
  </mergeCells>
  <hyperlinks>
    <hyperlink ref="B37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5"/>
  <sheetViews>
    <sheetView view="pageBreakPreview" zoomScaleNormal="100" zoomScaleSheetLayoutView="100" workbookViewId="0">
      <selection activeCell="K16" sqref="K16"/>
    </sheetView>
  </sheetViews>
  <sheetFormatPr defaultRowHeight="15" x14ac:dyDescent="0.25"/>
  <cols>
    <col min="1" max="1" width="7.42578125" style="2" customWidth="1"/>
    <col min="2" max="2" width="32.5703125" style="2" customWidth="1"/>
    <col min="3" max="3" width="12.7109375" style="2" customWidth="1"/>
    <col min="4" max="4" width="14" style="2" customWidth="1"/>
    <col min="5" max="5" width="14.5703125" style="2" customWidth="1"/>
    <col min="6" max="6" width="12.42578125" style="2" customWidth="1"/>
    <col min="7" max="7" width="14.42578125" style="2" customWidth="1"/>
    <col min="8" max="9" width="12.7109375" style="2" customWidth="1"/>
    <col min="10" max="11" width="11.7109375" style="2" customWidth="1"/>
    <col min="12" max="12" width="13.42578125" style="2" customWidth="1"/>
    <col min="13" max="13" width="11.7109375" style="2" customWidth="1"/>
    <col min="14" max="16" width="13.5703125" style="2" customWidth="1"/>
    <col min="17" max="17" width="14.85546875" style="2" customWidth="1"/>
    <col min="18" max="18" width="15" style="2" customWidth="1"/>
    <col min="19" max="16384" width="9.140625" style="2"/>
  </cols>
  <sheetData>
    <row r="1" spans="1:18" ht="30.75" customHeight="1" x14ac:dyDescent="0.25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90"/>
      <c r="P1" s="90"/>
    </row>
    <row r="2" spans="1:18" x14ac:dyDescent="0.25">
      <c r="O2" s="3"/>
      <c r="P2" s="3" t="s">
        <v>1</v>
      </c>
    </row>
    <row r="3" spans="1:18" ht="51" customHeight="1" x14ac:dyDescent="0.25">
      <c r="A3" s="111" t="s">
        <v>2</v>
      </c>
      <c r="B3" s="111" t="s">
        <v>3</v>
      </c>
      <c r="C3" s="139" t="s">
        <v>4</v>
      </c>
      <c r="D3" s="140"/>
      <c r="E3" s="139" t="s">
        <v>5</v>
      </c>
      <c r="F3" s="140"/>
      <c r="G3" s="112" t="s">
        <v>6</v>
      </c>
      <c r="H3" s="113"/>
      <c r="I3" s="143" t="s">
        <v>7</v>
      </c>
      <c r="J3" s="144"/>
      <c r="K3" s="144"/>
      <c r="L3" s="145"/>
      <c r="M3" s="138" t="s">
        <v>8</v>
      </c>
      <c r="N3" s="138"/>
      <c r="O3" s="138" t="s">
        <v>9</v>
      </c>
      <c r="P3" s="138"/>
      <c r="Q3" s="128"/>
      <c r="R3" s="128"/>
    </row>
    <row r="4" spans="1:18" ht="72" customHeight="1" x14ac:dyDescent="0.25">
      <c r="A4" s="111"/>
      <c r="B4" s="111"/>
      <c r="C4" s="141"/>
      <c r="D4" s="142"/>
      <c r="E4" s="141"/>
      <c r="F4" s="142"/>
      <c r="G4" s="114"/>
      <c r="H4" s="115"/>
      <c r="I4" s="116" t="s">
        <v>11</v>
      </c>
      <c r="J4" s="118"/>
      <c r="K4" s="116" t="s">
        <v>12</v>
      </c>
      <c r="L4" s="118"/>
      <c r="M4" s="138" t="s">
        <v>11</v>
      </c>
      <c r="N4" s="138"/>
      <c r="O4" s="138" t="s">
        <v>11</v>
      </c>
      <c r="P4" s="138"/>
      <c r="Q4" s="129"/>
      <c r="R4" s="130"/>
    </row>
    <row r="5" spans="1:18" ht="15" customHeight="1" x14ac:dyDescent="0.25">
      <c r="A5" s="111"/>
      <c r="B5" s="111"/>
      <c r="C5" s="94" t="s">
        <v>55</v>
      </c>
      <c r="D5" s="95">
        <v>44075</v>
      </c>
      <c r="E5" s="94" t="str">
        <f>C5</f>
        <v xml:space="preserve"> 01.01.2020</v>
      </c>
      <c r="F5" s="95">
        <f>D5</f>
        <v>44075</v>
      </c>
      <c r="G5" s="91" t="str">
        <f>C5</f>
        <v xml:space="preserve"> 01.01.2020</v>
      </c>
      <c r="H5" s="6">
        <f>D5</f>
        <v>44075</v>
      </c>
      <c r="I5" s="6" t="str">
        <f>C5</f>
        <v xml:space="preserve"> 01.01.2020</v>
      </c>
      <c r="J5" s="6">
        <f>D5</f>
        <v>44075</v>
      </c>
      <c r="K5" s="6" t="str">
        <f>C5</f>
        <v xml:space="preserve"> 01.01.2020</v>
      </c>
      <c r="L5" s="6">
        <f>D5</f>
        <v>44075</v>
      </c>
      <c r="M5" s="94" t="str">
        <f>C5</f>
        <v xml:space="preserve"> 01.01.2020</v>
      </c>
      <c r="N5" s="95">
        <f>D5</f>
        <v>44075</v>
      </c>
      <c r="O5" s="94" t="str">
        <f>E5</f>
        <v xml:space="preserve"> 01.01.2020</v>
      </c>
      <c r="P5" s="95">
        <f>F5</f>
        <v>44075</v>
      </c>
      <c r="Q5" s="129"/>
      <c r="R5" s="129"/>
    </row>
    <row r="6" spans="1:18" ht="15.75" customHeight="1" x14ac:dyDescent="0.25">
      <c r="A6" s="91">
        <v>1</v>
      </c>
      <c r="B6" s="91">
        <v>2</v>
      </c>
      <c r="C6" s="94">
        <v>3</v>
      </c>
      <c r="D6" s="94">
        <v>4</v>
      </c>
      <c r="E6" s="94">
        <v>5</v>
      </c>
      <c r="F6" s="94">
        <v>6</v>
      </c>
      <c r="G6" s="91">
        <v>7</v>
      </c>
      <c r="H6" s="91">
        <v>8</v>
      </c>
      <c r="I6" s="7">
        <v>9</v>
      </c>
      <c r="J6" s="7">
        <v>10</v>
      </c>
      <c r="K6" s="7">
        <v>11</v>
      </c>
      <c r="L6" s="91">
        <v>12</v>
      </c>
      <c r="M6" s="94">
        <v>13</v>
      </c>
      <c r="N6" s="94">
        <v>14</v>
      </c>
      <c r="O6" s="94">
        <v>15</v>
      </c>
      <c r="P6" s="94">
        <v>16</v>
      </c>
      <c r="Q6" s="93"/>
      <c r="R6" s="93"/>
    </row>
    <row r="7" spans="1:18" ht="15.75" x14ac:dyDescent="0.25">
      <c r="A7" s="9">
        <v>1</v>
      </c>
      <c r="B7" s="10" t="s">
        <v>15</v>
      </c>
      <c r="C7" s="96" t="s">
        <v>16</v>
      </c>
      <c r="D7" s="96" t="s">
        <v>16</v>
      </c>
      <c r="E7" s="96">
        <f>E8+E10+E9</f>
        <v>53600.531910000005</v>
      </c>
      <c r="F7" s="96">
        <f>F8+F10+F9</f>
        <v>64672.388279999999</v>
      </c>
      <c r="G7" s="11" t="s">
        <v>16</v>
      </c>
      <c r="H7" s="11" t="s">
        <v>16</v>
      </c>
      <c r="I7" s="12">
        <v>19788.080000000002</v>
      </c>
      <c r="J7" s="101">
        <v>19850</v>
      </c>
      <c r="K7" s="53" t="s">
        <v>16</v>
      </c>
      <c r="L7" s="53"/>
      <c r="M7" s="97">
        <f>'[1]01.05.2018'!N7</f>
        <v>2685.86</v>
      </c>
      <c r="N7" s="100">
        <f>M7</f>
        <v>2685.86</v>
      </c>
      <c r="O7" s="97">
        <v>15024.05</v>
      </c>
      <c r="P7" s="98">
        <v>16835.57</v>
      </c>
      <c r="Q7" s="67"/>
      <c r="R7" s="67"/>
    </row>
    <row r="8" spans="1:18" ht="17.25" customHeight="1" x14ac:dyDescent="0.25">
      <c r="A8" s="14" t="s">
        <v>17</v>
      </c>
      <c r="B8" s="15" t="s">
        <v>18</v>
      </c>
      <c r="C8" s="96" t="s">
        <v>16</v>
      </c>
      <c r="D8" s="96" t="s">
        <v>16</v>
      </c>
      <c r="E8" s="97">
        <f>3804630.15/1000</f>
        <v>3804.63015</v>
      </c>
      <c r="F8" s="98">
        <f>3803240.54/1000</f>
        <v>3803.2405400000002</v>
      </c>
      <c r="G8" s="11" t="s">
        <v>16</v>
      </c>
      <c r="H8" s="11" t="s">
        <v>16</v>
      </c>
      <c r="I8" s="53" t="s">
        <v>16</v>
      </c>
      <c r="J8" s="53" t="s">
        <v>16</v>
      </c>
      <c r="K8" s="53" t="s">
        <v>16</v>
      </c>
      <c r="L8" s="53"/>
      <c r="M8" s="11" t="s">
        <v>16</v>
      </c>
      <c r="N8" s="11" t="s">
        <v>16</v>
      </c>
      <c r="O8" s="11" t="s">
        <v>16</v>
      </c>
      <c r="P8" s="11" t="s">
        <v>16</v>
      </c>
      <c r="Q8" s="67"/>
      <c r="R8" s="41"/>
    </row>
    <row r="9" spans="1:18" ht="44.25" customHeight="1" x14ac:dyDescent="0.25">
      <c r="A9" s="14" t="s">
        <v>19</v>
      </c>
      <c r="B9" s="16" t="s">
        <v>20</v>
      </c>
      <c r="C9" s="96" t="s">
        <v>16</v>
      </c>
      <c r="D9" s="96" t="s">
        <v>16</v>
      </c>
      <c r="E9" s="97">
        <f>[2]TDSheet!$K$154/1000</f>
        <v>49757.100100000003</v>
      </c>
      <c r="F9" s="96">
        <f>60790769.84/1000</f>
        <v>60790.769840000001</v>
      </c>
      <c r="G9" s="11" t="s">
        <v>16</v>
      </c>
      <c r="H9" s="11" t="s">
        <v>16</v>
      </c>
      <c r="I9" s="53" t="s">
        <v>16</v>
      </c>
      <c r="J9" s="53" t="s">
        <v>16</v>
      </c>
      <c r="K9" s="53" t="s">
        <v>16</v>
      </c>
      <c r="L9" s="53"/>
      <c r="M9" s="11" t="s">
        <v>16</v>
      </c>
      <c r="N9" s="11" t="s">
        <v>16</v>
      </c>
      <c r="O9" s="11" t="s">
        <v>16</v>
      </c>
      <c r="P9" s="11" t="s">
        <v>16</v>
      </c>
      <c r="Q9" s="67"/>
      <c r="R9" s="41"/>
    </row>
    <row r="10" spans="1:18" ht="15.75" x14ac:dyDescent="0.25">
      <c r="A10" s="14" t="s">
        <v>21</v>
      </c>
      <c r="B10" s="17" t="s">
        <v>22</v>
      </c>
      <c r="C10" s="96" t="s">
        <v>16</v>
      </c>
      <c r="D10" s="96" t="s">
        <v>16</v>
      </c>
      <c r="E10" s="97">
        <f>38801.66/1000</f>
        <v>38.801660000000005</v>
      </c>
      <c r="F10" s="98">
        <f>78377.9/1000</f>
        <v>78.377899999999997</v>
      </c>
      <c r="G10" s="11" t="s">
        <v>16</v>
      </c>
      <c r="H10" s="11" t="s">
        <v>16</v>
      </c>
      <c r="I10" s="53" t="s">
        <v>16</v>
      </c>
      <c r="J10" s="53" t="s">
        <v>16</v>
      </c>
      <c r="K10" s="53" t="s">
        <v>16</v>
      </c>
      <c r="L10" s="53"/>
      <c r="M10" s="11" t="s">
        <v>16</v>
      </c>
      <c r="N10" s="11" t="s">
        <v>16</v>
      </c>
      <c r="O10" s="11" t="s">
        <v>16</v>
      </c>
      <c r="P10" s="11" t="s">
        <v>16</v>
      </c>
      <c r="Q10" s="67"/>
      <c r="R10" s="41"/>
    </row>
    <row r="11" spans="1:18" ht="15.75" x14ac:dyDescent="0.25">
      <c r="A11" s="14">
        <v>2</v>
      </c>
      <c r="B11" s="18" t="s">
        <v>23</v>
      </c>
      <c r="C11" s="96">
        <v>5650.03</v>
      </c>
      <c r="D11" s="96">
        <f>[12]Свод!$M$7</f>
        <v>5464.92</v>
      </c>
      <c r="E11" s="96">
        <v>15925</v>
      </c>
      <c r="F11" s="98">
        <v>15891</v>
      </c>
      <c r="G11" s="11" t="s">
        <v>24</v>
      </c>
      <c r="H11" s="11" t="s">
        <v>24</v>
      </c>
      <c r="I11" s="53" t="s">
        <v>16</v>
      </c>
      <c r="J11" s="53" t="s">
        <v>16</v>
      </c>
      <c r="K11" s="12">
        <v>6.36</v>
      </c>
      <c r="L11" s="99">
        <v>0</v>
      </c>
      <c r="M11" s="11" t="s">
        <v>16</v>
      </c>
      <c r="N11" s="11" t="s">
        <v>16</v>
      </c>
      <c r="O11" s="11" t="s">
        <v>16</v>
      </c>
      <c r="P11" s="11" t="s">
        <v>16</v>
      </c>
      <c r="Q11" s="67"/>
      <c r="R11" s="67"/>
    </row>
    <row r="12" spans="1:18" ht="15.75" x14ac:dyDescent="0.25">
      <c r="A12" s="14">
        <f>A11+1</f>
        <v>3</v>
      </c>
      <c r="B12" s="18" t="s">
        <v>25</v>
      </c>
      <c r="C12" s="96">
        <f>'[6]01.01.2020'!$D$12</f>
        <v>673.89999999999964</v>
      </c>
      <c r="D12" s="96">
        <f>[12]Свод!$M$8</f>
        <v>498.90000000000055</v>
      </c>
      <c r="E12" s="96">
        <v>112</v>
      </c>
      <c r="F12" s="98">
        <v>76</v>
      </c>
      <c r="G12" s="11" t="s">
        <v>24</v>
      </c>
      <c r="H12" s="11" t="s">
        <v>24</v>
      </c>
      <c r="I12" s="53" t="s">
        <v>16</v>
      </c>
      <c r="J12" s="53" t="s">
        <v>16</v>
      </c>
      <c r="K12" s="12">
        <v>0</v>
      </c>
      <c r="L12" s="99">
        <v>0</v>
      </c>
      <c r="M12" s="11" t="s">
        <v>16</v>
      </c>
      <c r="N12" s="11" t="s">
        <v>16</v>
      </c>
      <c r="O12" s="11" t="s">
        <v>16</v>
      </c>
      <c r="P12" s="11" t="s">
        <v>16</v>
      </c>
      <c r="Q12" s="67"/>
      <c r="R12" s="67"/>
    </row>
    <row r="13" spans="1:18" ht="18" customHeight="1" x14ac:dyDescent="0.25">
      <c r="A13" s="14">
        <f t="shared" ref="A13:A14" si="0">A12+1</f>
        <v>4</v>
      </c>
      <c r="B13" s="18" t="s">
        <v>26</v>
      </c>
      <c r="C13" s="96">
        <f>'[6]01.01.2020'!$D$13</f>
        <v>20434.799999999988</v>
      </c>
      <c r="D13" s="96">
        <f>[12]Свод!$M$9</f>
        <v>17247.000000000004</v>
      </c>
      <c r="E13" s="96">
        <v>26253</v>
      </c>
      <c r="F13" s="98">
        <v>19922</v>
      </c>
      <c r="G13" s="11" t="s">
        <v>24</v>
      </c>
      <c r="H13" s="11" t="s">
        <v>24</v>
      </c>
      <c r="I13" s="53" t="s">
        <v>16</v>
      </c>
      <c r="J13" s="53" t="s">
        <v>16</v>
      </c>
      <c r="K13" s="12">
        <v>22.36</v>
      </c>
      <c r="L13" s="99">
        <v>22.81</v>
      </c>
      <c r="M13" s="11" t="s">
        <v>16</v>
      </c>
      <c r="N13" s="11" t="s">
        <v>16</v>
      </c>
      <c r="O13" s="11" t="s">
        <v>16</v>
      </c>
      <c r="P13" s="11" t="s">
        <v>16</v>
      </c>
      <c r="Q13" s="67"/>
      <c r="R13" s="67"/>
    </row>
    <row r="14" spans="1:18" ht="31.5" x14ac:dyDescent="0.25">
      <c r="A14" s="14">
        <f t="shared" si="0"/>
        <v>5</v>
      </c>
      <c r="B14" s="18" t="s">
        <v>27</v>
      </c>
      <c r="C14" s="96">
        <f>'[6]01.01.2020'!$D$14</f>
        <v>10040.79999999999</v>
      </c>
      <c r="D14" s="96">
        <f>[12]Свод!$M$10</f>
        <v>11231.600000000002</v>
      </c>
      <c r="E14" s="96">
        <v>1130</v>
      </c>
      <c r="F14" s="98">
        <v>149</v>
      </c>
      <c r="G14" s="11" t="s">
        <v>24</v>
      </c>
      <c r="H14" s="11" t="s">
        <v>24</v>
      </c>
      <c r="I14" s="53" t="s">
        <v>16</v>
      </c>
      <c r="J14" s="53" t="s">
        <v>16</v>
      </c>
      <c r="K14" s="12">
        <v>0</v>
      </c>
      <c r="L14" s="99">
        <v>0</v>
      </c>
      <c r="M14" s="11" t="s">
        <v>16</v>
      </c>
      <c r="N14" s="11" t="s">
        <v>16</v>
      </c>
      <c r="O14" s="11" t="s">
        <v>16</v>
      </c>
      <c r="P14" s="11" t="s">
        <v>16</v>
      </c>
      <c r="Q14" s="67"/>
      <c r="R14" s="67"/>
    </row>
    <row r="15" spans="1:18" ht="15.75" x14ac:dyDescent="0.25">
      <c r="A15" s="14">
        <f>A14+1</f>
        <v>6</v>
      </c>
      <c r="B15" s="18" t="s">
        <v>28</v>
      </c>
      <c r="C15" s="96">
        <f>'[6]01.01.2020'!$D$15</f>
        <v>30846.32999999998</v>
      </c>
      <c r="D15" s="96">
        <f>[12]Свод!$M$11</f>
        <v>30846.329999999998</v>
      </c>
      <c r="E15" s="96">
        <v>46515</v>
      </c>
      <c r="F15" s="98">
        <v>46517</v>
      </c>
      <c r="G15" s="11" t="s">
        <v>29</v>
      </c>
      <c r="H15" s="11" t="s">
        <v>29</v>
      </c>
      <c r="I15" s="53" t="s">
        <v>16</v>
      </c>
      <c r="J15" s="53" t="s">
        <v>16</v>
      </c>
      <c r="K15" s="12">
        <v>209.4</v>
      </c>
      <c r="L15" s="99">
        <v>209.4</v>
      </c>
      <c r="M15" s="11" t="s">
        <v>16</v>
      </c>
      <c r="N15" s="11" t="s">
        <v>16</v>
      </c>
      <c r="O15" s="11" t="s">
        <v>16</v>
      </c>
      <c r="P15" s="11" t="s">
        <v>16</v>
      </c>
      <c r="Q15" s="67"/>
      <c r="R15" s="67"/>
    </row>
    <row r="16" spans="1:18" ht="17.25" customHeight="1" x14ac:dyDescent="0.25">
      <c r="A16" s="14">
        <f t="shared" ref="A16:A27" si="1">A15+1</f>
        <v>7</v>
      </c>
      <c r="B16" s="19" t="s">
        <v>30</v>
      </c>
      <c r="C16" s="96">
        <f>'[6]01.01.2020'!$D$16</f>
        <v>2252</v>
      </c>
      <c r="D16" s="96">
        <f>[12]Свод!$M$13</f>
        <v>2252</v>
      </c>
      <c r="E16" s="96" t="s">
        <v>31</v>
      </c>
      <c r="F16" s="99" t="s">
        <v>31</v>
      </c>
      <c r="G16" s="11" t="s">
        <v>32</v>
      </c>
      <c r="H16" s="11" t="s">
        <v>29</v>
      </c>
      <c r="I16" s="53" t="s">
        <v>16</v>
      </c>
      <c r="J16" s="53" t="s">
        <v>16</v>
      </c>
      <c r="K16" s="12" t="s">
        <v>29</v>
      </c>
      <c r="L16" s="99"/>
      <c r="M16" s="11" t="s">
        <v>16</v>
      </c>
      <c r="N16" s="11" t="s">
        <v>16</v>
      </c>
      <c r="O16" s="11" t="s">
        <v>16</v>
      </c>
      <c r="P16" s="11" t="s">
        <v>16</v>
      </c>
      <c r="Q16" s="67"/>
      <c r="R16" s="67"/>
    </row>
    <row r="17" spans="1:18" ht="15.75" x14ac:dyDescent="0.25">
      <c r="A17" s="14">
        <f t="shared" si="1"/>
        <v>8</v>
      </c>
      <c r="B17" s="18" t="s">
        <v>33</v>
      </c>
      <c r="C17" s="96">
        <f>'[6]01.01.2020'!$D$17</f>
        <v>61241.929999999978</v>
      </c>
      <c r="D17" s="97">
        <f>[12]Свод!$M$14</f>
        <v>58594.409999999989</v>
      </c>
      <c r="E17" s="96">
        <v>51560</v>
      </c>
      <c r="F17" s="98">
        <v>51981</v>
      </c>
      <c r="G17" s="11" t="s">
        <v>29</v>
      </c>
      <c r="H17" s="11" t="s">
        <v>29</v>
      </c>
      <c r="I17" s="53" t="s">
        <v>16</v>
      </c>
      <c r="J17" s="53" t="s">
        <v>16</v>
      </c>
      <c r="K17" s="12">
        <v>0</v>
      </c>
      <c r="L17" s="99">
        <v>8.4600000000000009</v>
      </c>
      <c r="M17" s="11" t="s">
        <v>16</v>
      </c>
      <c r="N17" s="11" t="s">
        <v>16</v>
      </c>
      <c r="O17" s="11" t="s">
        <v>16</v>
      </c>
      <c r="P17" s="11" t="s">
        <v>16</v>
      </c>
      <c r="Q17" s="67"/>
      <c r="R17" s="67"/>
    </row>
    <row r="18" spans="1:18" ht="15.75" x14ac:dyDescent="0.25">
      <c r="A18" s="14">
        <f t="shared" si="1"/>
        <v>9</v>
      </c>
      <c r="B18" s="18" t="s">
        <v>34</v>
      </c>
      <c r="C18" s="96">
        <v>17219.330000000002</v>
      </c>
      <c r="D18" s="97">
        <f>[12]Свод!$M$15</f>
        <v>17029.099999999999</v>
      </c>
      <c r="E18" s="96">
        <v>8820</v>
      </c>
      <c r="F18" s="98">
        <v>8559</v>
      </c>
      <c r="G18" s="11" t="str">
        <f>'[4]01.01.2016'!H19</f>
        <v>-</v>
      </c>
      <c r="H18" s="11" t="s">
        <v>24</v>
      </c>
      <c r="I18" s="53" t="s">
        <v>16</v>
      </c>
      <c r="J18" s="53" t="s">
        <v>16</v>
      </c>
      <c r="K18" s="12">
        <v>0</v>
      </c>
      <c r="L18" s="99">
        <v>0</v>
      </c>
      <c r="M18" s="11" t="s">
        <v>16</v>
      </c>
      <c r="N18" s="11" t="s">
        <v>16</v>
      </c>
      <c r="O18" s="11" t="s">
        <v>16</v>
      </c>
      <c r="P18" s="11" t="s">
        <v>16</v>
      </c>
      <c r="Q18" s="67"/>
      <c r="R18" s="67"/>
    </row>
    <row r="19" spans="1:18" ht="15.75" x14ac:dyDescent="0.25">
      <c r="A19" s="14">
        <f t="shared" si="1"/>
        <v>10</v>
      </c>
      <c r="B19" s="18" t="s">
        <v>35</v>
      </c>
      <c r="C19" s="96">
        <f>'[6]01.01.2020'!$D$19</f>
        <v>9515.3999999999978</v>
      </c>
      <c r="D19" s="96">
        <f>[12]Свод!$M$16</f>
        <v>9619.3000000000029</v>
      </c>
      <c r="E19" s="96">
        <v>4883</v>
      </c>
      <c r="F19" s="98">
        <v>4515</v>
      </c>
      <c r="G19" s="11" t="s">
        <v>29</v>
      </c>
      <c r="H19" s="11" t="s">
        <v>29</v>
      </c>
      <c r="I19" s="53" t="s">
        <v>16</v>
      </c>
      <c r="J19" s="53" t="s">
        <v>16</v>
      </c>
      <c r="K19" s="12">
        <v>0</v>
      </c>
      <c r="L19" s="99">
        <v>0</v>
      </c>
      <c r="M19" s="11" t="s">
        <v>16</v>
      </c>
      <c r="N19" s="11" t="s">
        <v>16</v>
      </c>
      <c r="O19" s="11" t="s">
        <v>16</v>
      </c>
      <c r="P19" s="11" t="s">
        <v>16</v>
      </c>
      <c r="Q19" s="67"/>
      <c r="R19" s="67"/>
    </row>
    <row r="20" spans="1:18" ht="15.75" x14ac:dyDescent="0.25">
      <c r="A20" s="14">
        <f t="shared" si="1"/>
        <v>11</v>
      </c>
      <c r="B20" s="18" t="s">
        <v>36</v>
      </c>
      <c r="C20" s="96">
        <f>'[6]01.01.2020'!$D$20</f>
        <v>6023.6200000000044</v>
      </c>
      <c r="D20" s="96">
        <f>[12]Свод!$M$12</f>
        <v>8130.8200000000043</v>
      </c>
      <c r="E20" s="96">
        <v>163</v>
      </c>
      <c r="F20" s="98">
        <v>121</v>
      </c>
      <c r="G20" s="11" t="s">
        <v>29</v>
      </c>
      <c r="H20" s="11" t="s">
        <v>29</v>
      </c>
      <c r="I20" s="53" t="s">
        <v>16</v>
      </c>
      <c r="J20" s="53" t="s">
        <v>16</v>
      </c>
      <c r="K20" s="12">
        <v>0</v>
      </c>
      <c r="L20" s="99">
        <v>4.05</v>
      </c>
      <c r="M20" s="11" t="s">
        <v>16</v>
      </c>
      <c r="N20" s="11" t="s">
        <v>16</v>
      </c>
      <c r="O20" s="11" t="s">
        <v>16</v>
      </c>
      <c r="P20" s="11" t="s">
        <v>16</v>
      </c>
      <c r="Q20" s="67"/>
      <c r="R20" s="67"/>
    </row>
    <row r="21" spans="1:18" ht="15.75" x14ac:dyDescent="0.25">
      <c r="A21" s="14">
        <f t="shared" si="1"/>
        <v>12</v>
      </c>
      <c r="B21" s="18" t="s">
        <v>37</v>
      </c>
      <c r="C21" s="96">
        <f>'[6]01.01.2020'!$D$21</f>
        <v>5118.8900000000049</v>
      </c>
      <c r="D21" s="96">
        <f>[12]Свод!$M$17</f>
        <v>6533.6599999999944</v>
      </c>
      <c r="E21" s="96">
        <v>1582</v>
      </c>
      <c r="F21" s="98">
        <v>621</v>
      </c>
      <c r="G21" s="11" t="s">
        <v>24</v>
      </c>
      <c r="H21" s="11" t="s">
        <v>24</v>
      </c>
      <c r="I21" s="53" t="s">
        <v>16</v>
      </c>
      <c r="J21" s="53" t="s">
        <v>16</v>
      </c>
      <c r="K21" s="12">
        <v>0</v>
      </c>
      <c r="L21" s="99">
        <v>0</v>
      </c>
      <c r="M21" s="11" t="s">
        <v>16</v>
      </c>
      <c r="N21" s="11" t="s">
        <v>16</v>
      </c>
      <c r="O21" s="11" t="s">
        <v>16</v>
      </c>
      <c r="P21" s="11" t="s">
        <v>16</v>
      </c>
      <c r="Q21" s="67"/>
      <c r="R21" s="67"/>
    </row>
    <row r="22" spans="1:18" ht="15.75" x14ac:dyDescent="0.25">
      <c r="A22" s="14">
        <f t="shared" si="1"/>
        <v>13</v>
      </c>
      <c r="B22" s="18" t="s">
        <v>38</v>
      </c>
      <c r="C22" s="96">
        <f>'[6]01.01.2020'!$D$22</f>
        <v>804.08999999999992</v>
      </c>
      <c r="D22" s="96">
        <f>[12]Свод!$M$18</f>
        <v>1801.4200000000005</v>
      </c>
      <c r="E22" s="96">
        <v>35</v>
      </c>
      <c r="F22" s="98">
        <v>20</v>
      </c>
      <c r="G22" s="11" t="s">
        <v>24</v>
      </c>
      <c r="H22" s="11" t="s">
        <v>24</v>
      </c>
      <c r="I22" s="53" t="s">
        <v>16</v>
      </c>
      <c r="J22" s="53" t="s">
        <v>16</v>
      </c>
      <c r="K22" s="12">
        <v>0</v>
      </c>
      <c r="L22" s="99">
        <v>0</v>
      </c>
      <c r="M22" s="11" t="s">
        <v>16</v>
      </c>
      <c r="N22" s="11" t="s">
        <v>16</v>
      </c>
      <c r="O22" s="11" t="s">
        <v>16</v>
      </c>
      <c r="P22" s="11" t="s">
        <v>16</v>
      </c>
      <c r="Q22" s="67"/>
      <c r="R22" s="67"/>
    </row>
    <row r="23" spans="1:18" ht="15.75" x14ac:dyDescent="0.25">
      <c r="A23" s="14">
        <f t="shared" si="1"/>
        <v>14</v>
      </c>
      <c r="B23" s="18" t="s">
        <v>39</v>
      </c>
      <c r="C23" s="96">
        <f>'[6]01.01.2020'!$D$23</f>
        <v>5355.3780000000006</v>
      </c>
      <c r="D23" s="96">
        <f>[12]Свод!$M$19</f>
        <v>7649.7880000000005</v>
      </c>
      <c r="E23" s="96">
        <v>827</v>
      </c>
      <c r="F23" s="98">
        <v>2368</v>
      </c>
      <c r="G23" s="11" t="s">
        <v>24</v>
      </c>
      <c r="H23" s="11" t="s">
        <v>24</v>
      </c>
      <c r="I23" s="53" t="s">
        <v>16</v>
      </c>
      <c r="J23" s="53" t="s">
        <v>16</v>
      </c>
      <c r="K23" s="12">
        <v>11.77</v>
      </c>
      <c r="L23" s="99">
        <v>4.0999999999999996</v>
      </c>
      <c r="M23" s="11" t="s">
        <v>16</v>
      </c>
      <c r="N23" s="11" t="s">
        <v>16</v>
      </c>
      <c r="O23" s="11" t="s">
        <v>16</v>
      </c>
      <c r="P23" s="11" t="s">
        <v>16</v>
      </c>
      <c r="Q23" s="67"/>
      <c r="R23" s="67"/>
    </row>
    <row r="24" spans="1:18" ht="15.75" x14ac:dyDescent="0.25">
      <c r="A24" s="14">
        <f t="shared" si="1"/>
        <v>15</v>
      </c>
      <c r="B24" s="18" t="s">
        <v>40</v>
      </c>
      <c r="C24" s="96">
        <f>'[6]01.01.2020'!$D$24</f>
        <v>38062.04</v>
      </c>
      <c r="D24" s="96">
        <f>[12]Свод!$L$20</f>
        <v>38062.04</v>
      </c>
      <c r="E24" s="96">
        <v>188372</v>
      </c>
      <c r="F24" s="98">
        <f>E24</f>
        <v>188372</v>
      </c>
      <c r="G24" s="11">
        <f>'[5]01.01.2018'!$H$23</f>
        <v>3575.81</v>
      </c>
      <c r="H24" s="11">
        <f>G24</f>
        <v>3575.81</v>
      </c>
      <c r="I24" s="53" t="s">
        <v>16</v>
      </c>
      <c r="J24" s="53" t="s">
        <v>16</v>
      </c>
      <c r="K24" s="53" t="s">
        <v>24</v>
      </c>
      <c r="L24" s="99" t="s">
        <v>29</v>
      </c>
      <c r="M24" s="11" t="s">
        <v>16</v>
      </c>
      <c r="N24" s="11" t="s">
        <v>16</v>
      </c>
      <c r="O24" s="11" t="s">
        <v>16</v>
      </c>
      <c r="P24" s="11" t="s">
        <v>16</v>
      </c>
      <c r="Q24" s="67"/>
      <c r="R24" s="67"/>
    </row>
    <row r="25" spans="1:18" ht="15.75" x14ac:dyDescent="0.25">
      <c r="A25" s="14">
        <f t="shared" si="1"/>
        <v>16</v>
      </c>
      <c r="B25" s="18" t="s">
        <v>41</v>
      </c>
      <c r="C25" s="96">
        <f>'[6]01.01.2020'!$D$25</f>
        <v>4156.6099999999997</v>
      </c>
      <c r="D25" s="97">
        <f>C25</f>
        <v>4156.6099999999997</v>
      </c>
      <c r="E25" s="96" t="s">
        <v>24</v>
      </c>
      <c r="F25" s="98" t="s">
        <v>24</v>
      </c>
      <c r="G25" s="11" t="str">
        <f>'[4]01.01.2016'!H24</f>
        <v>-</v>
      </c>
      <c r="H25" s="11" t="s">
        <v>24</v>
      </c>
      <c r="I25" s="53" t="s">
        <v>16</v>
      </c>
      <c r="J25" s="53" t="s">
        <v>16</v>
      </c>
      <c r="K25" s="53" t="s">
        <v>24</v>
      </c>
      <c r="L25" s="99" t="s">
        <v>29</v>
      </c>
      <c r="M25" s="11" t="s">
        <v>24</v>
      </c>
      <c r="N25" s="11" t="s">
        <v>24</v>
      </c>
      <c r="O25" s="11" t="s">
        <v>24</v>
      </c>
      <c r="P25" s="11" t="s">
        <v>24</v>
      </c>
      <c r="Q25" s="67"/>
      <c r="R25" s="93"/>
    </row>
    <row r="26" spans="1:18" ht="15.75" x14ac:dyDescent="0.25">
      <c r="A26" s="14">
        <f t="shared" si="1"/>
        <v>17</v>
      </c>
      <c r="B26" s="18" t="s">
        <v>42</v>
      </c>
      <c r="C26" s="96">
        <f>'[6]01.01.2020'!$D$26</f>
        <v>20182.28</v>
      </c>
      <c r="D26" s="97">
        <f>C26</f>
        <v>20182.28</v>
      </c>
      <c r="E26" s="96">
        <v>46797</v>
      </c>
      <c r="F26" s="98">
        <f>E26</f>
        <v>46797</v>
      </c>
      <c r="G26" s="11" t="str">
        <f>'[4]01.01.2016'!H18</f>
        <v>-</v>
      </c>
      <c r="H26" s="11" t="s">
        <v>24</v>
      </c>
      <c r="I26" s="53" t="s">
        <v>16</v>
      </c>
      <c r="J26" s="53" t="s">
        <v>16</v>
      </c>
      <c r="K26" s="12">
        <v>36.72</v>
      </c>
      <c r="L26" s="99">
        <v>36.72</v>
      </c>
      <c r="M26" s="11" t="s">
        <v>16</v>
      </c>
      <c r="N26" s="11" t="s">
        <v>16</v>
      </c>
      <c r="O26" s="11" t="s">
        <v>16</v>
      </c>
      <c r="P26" s="11" t="s">
        <v>16</v>
      </c>
      <c r="Q26" s="67"/>
      <c r="R26" s="67"/>
    </row>
    <row r="27" spans="1:18" ht="15.75" x14ac:dyDescent="0.25">
      <c r="A27" s="14">
        <f t="shared" si="1"/>
        <v>18</v>
      </c>
      <c r="B27" s="20" t="s">
        <v>43</v>
      </c>
      <c r="C27" s="21">
        <f>SUM(C11:C26)</f>
        <v>237577.42799999993</v>
      </c>
      <c r="D27" s="21">
        <f>SUM(D11:D26)</f>
        <v>239300.17800000001</v>
      </c>
      <c r="E27" s="21">
        <f>SUM(E11:E26)+E7</f>
        <v>446574.53191000002</v>
      </c>
      <c r="F27" s="21">
        <f>SUM(F11:F26)+F7</f>
        <v>450581.38828000001</v>
      </c>
      <c r="G27" s="21">
        <f>SUM(G7:G26)</f>
        <v>3575.81</v>
      </c>
      <c r="H27" s="21">
        <f>SUM(H7:H26)</f>
        <v>3575.81</v>
      </c>
      <c r="I27" s="21">
        <f>SUM(I7)</f>
        <v>19788.080000000002</v>
      </c>
      <c r="J27" s="21">
        <f>SUM(J7)</f>
        <v>19850</v>
      </c>
      <c r="K27" s="21">
        <f>SUM(K11:K26)</f>
        <v>286.61</v>
      </c>
      <c r="L27" s="21">
        <f>SUM(L11:L26)</f>
        <v>285.54000000000002</v>
      </c>
      <c r="M27" s="21">
        <f>SUM(M7:M25)</f>
        <v>2685.86</v>
      </c>
      <c r="N27" s="21">
        <f>SUM(N7:N25)</f>
        <v>2685.86</v>
      </c>
      <c r="O27" s="21">
        <f>SUM(O7:O25)</f>
        <v>15024.05</v>
      </c>
      <c r="P27" s="21">
        <f>SUM(P7:P25)</f>
        <v>16835.57</v>
      </c>
      <c r="Q27" s="67"/>
      <c r="R27" s="67"/>
    </row>
    <row r="28" spans="1:18" ht="15.75" x14ac:dyDescent="0.25">
      <c r="A28" s="93"/>
      <c r="B28" s="23"/>
      <c r="C28" s="24"/>
      <c r="D28" s="24"/>
      <c r="E28" s="24"/>
      <c r="F28" s="45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45"/>
      <c r="R28" s="45"/>
    </row>
    <row r="29" spans="1:18" ht="15.75" x14ac:dyDescent="0.25">
      <c r="A29" s="93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45"/>
    </row>
    <row r="30" spans="1:18" ht="15.75" x14ac:dyDescent="0.25">
      <c r="A30" s="93"/>
      <c r="B30" s="54" t="s">
        <v>44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8" ht="15.75" x14ac:dyDescent="0.25">
      <c r="A31" s="93"/>
      <c r="B31" s="2" t="s">
        <v>45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ht="15.75" x14ac:dyDescent="0.25">
      <c r="A32" s="93"/>
      <c r="B32" s="2" t="s">
        <v>56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5.75" x14ac:dyDescent="0.25">
      <c r="A33" s="93"/>
      <c r="B33" s="55" t="s">
        <v>57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5.75" x14ac:dyDescent="0.25">
      <c r="A34" s="93"/>
      <c r="B34" s="2" t="s">
        <v>48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6.5" thickBot="1" x14ac:dyDescent="0.3">
      <c r="A35" s="93"/>
      <c r="B35" s="2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6.5" thickBot="1" x14ac:dyDescent="0.3">
      <c r="A36" s="93"/>
      <c r="B36" s="135" t="s">
        <v>61</v>
      </c>
      <c r="C36" s="136"/>
      <c r="D36" s="136"/>
      <c r="E36" s="136"/>
      <c r="F36" s="136"/>
      <c r="G36" s="136"/>
      <c r="H36" s="137"/>
      <c r="I36" s="24"/>
      <c r="J36" s="24"/>
      <c r="K36" s="24"/>
      <c r="L36" s="24"/>
      <c r="M36" s="24"/>
      <c r="N36" s="24"/>
      <c r="O36" s="24"/>
      <c r="P36" s="24"/>
    </row>
    <row r="37" spans="1:16" ht="75.75" thickBot="1" x14ac:dyDescent="0.3">
      <c r="A37" s="93"/>
      <c r="B37" s="68" t="s">
        <v>49</v>
      </c>
      <c r="C37" s="24"/>
      <c r="D37" s="131" t="s">
        <v>60</v>
      </c>
      <c r="E37" s="132"/>
      <c r="F37" s="132"/>
      <c r="G37" s="132"/>
      <c r="H37" s="132"/>
      <c r="I37" s="133"/>
      <c r="J37" s="134"/>
      <c r="K37" s="92"/>
      <c r="L37" s="92"/>
      <c r="M37" s="92"/>
      <c r="N37" s="24"/>
      <c r="O37" s="24"/>
      <c r="P37" s="24"/>
    </row>
    <row r="38" spans="1:16" ht="15.75" x14ac:dyDescent="0.25">
      <c r="A38" s="93"/>
      <c r="B38" s="68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ht="15.75" x14ac:dyDescent="0.25">
      <c r="A39" s="93"/>
      <c r="B39" s="29" t="s">
        <v>50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s="69" customFormat="1" x14ac:dyDescent="0.25">
      <c r="B40" s="70" t="s">
        <v>51</v>
      </c>
      <c r="C40" s="71"/>
      <c r="D40" s="71"/>
      <c r="E40" s="71"/>
      <c r="F40" s="71"/>
      <c r="G40" s="72"/>
      <c r="L40" s="73"/>
    </row>
    <row r="41" spans="1:16" x14ac:dyDescent="0.25">
      <c r="B41" s="74" t="s">
        <v>52</v>
      </c>
      <c r="D41" s="45"/>
      <c r="F41" s="45"/>
    </row>
    <row r="42" spans="1:16" x14ac:dyDescent="0.25">
      <c r="B42" s="29" t="s">
        <v>53</v>
      </c>
      <c r="F42" s="45"/>
    </row>
    <row r="43" spans="1:16" x14ac:dyDescent="0.25">
      <c r="B43" s="75" t="s">
        <v>54</v>
      </c>
    </row>
    <row r="45" spans="1:16" x14ac:dyDescent="0.25">
      <c r="F45" s="45"/>
    </row>
  </sheetData>
  <mergeCells count="18">
    <mergeCell ref="A1:N1"/>
    <mergeCell ref="A3:A5"/>
    <mergeCell ref="B3:B5"/>
    <mergeCell ref="C3:D4"/>
    <mergeCell ref="E3:F4"/>
    <mergeCell ref="G3:H4"/>
    <mergeCell ref="I3:L3"/>
    <mergeCell ref="M3:N3"/>
    <mergeCell ref="B36:H36"/>
    <mergeCell ref="D37:J37"/>
    <mergeCell ref="O3:P3"/>
    <mergeCell ref="Q3:R3"/>
    <mergeCell ref="I4:J4"/>
    <mergeCell ref="K4:L4"/>
    <mergeCell ref="M4:N4"/>
    <mergeCell ref="O4:P4"/>
    <mergeCell ref="Q4:Q5"/>
    <mergeCell ref="R4:R5"/>
  </mergeCells>
  <hyperlinks>
    <hyperlink ref="B37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01.01.2020</vt:lpstr>
      <vt:lpstr>01.02.2020</vt:lpstr>
      <vt:lpstr>01.03.2020</vt:lpstr>
      <vt:lpstr>01.04.2020</vt:lpstr>
      <vt:lpstr>01.05.2020</vt:lpstr>
      <vt:lpstr>01.06.2020</vt:lpstr>
      <vt:lpstr>01.07.2020</vt:lpstr>
      <vt:lpstr>01.08.2020</vt:lpstr>
      <vt:lpstr>01.09.2020</vt:lpstr>
      <vt:lpstr>01.10.2020</vt:lpstr>
      <vt:lpstr>'01.01.2020'!Область_печати</vt:lpstr>
      <vt:lpstr>'01.02.2020'!Область_печати</vt:lpstr>
      <vt:lpstr>'01.03.2020'!Область_печати</vt:lpstr>
      <vt:lpstr>'01.04.2020'!Область_печати</vt:lpstr>
      <vt:lpstr>'01.05.2020'!Область_печати</vt:lpstr>
      <vt:lpstr>'01.06.2020'!Область_печати</vt:lpstr>
      <vt:lpstr>'01.07.2020'!Область_печати</vt:lpstr>
      <vt:lpstr>'01.08.2020'!Область_печати</vt:lpstr>
      <vt:lpstr>'01.09.2020'!Область_печати</vt:lpstr>
      <vt:lpstr>'01.10.2020'!Область_печати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Ekonom2</dc:creator>
  <cp:lastModifiedBy>Ekonom6</cp:lastModifiedBy>
  <dcterms:created xsi:type="dcterms:W3CDTF">2020-02-25T12:04:31Z</dcterms:created>
  <dcterms:modified xsi:type="dcterms:W3CDTF">2020-11-02T08:42:40Z</dcterms:modified>
</cp:coreProperties>
</file>