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915" yWindow="-15" windowWidth="15330" windowHeight="12495"/>
  </bookViews>
  <sheets>
    <sheet name="Пример расчета" sheetId="1" r:id="rId1"/>
  </sheets>
  <definedNames>
    <definedName name="_xlnm.Print_Titles" localSheetId="0">'Пример расчета'!$A:$AB</definedName>
    <definedName name="_xlnm.Print_Area" localSheetId="0">'Пример расчета'!$A$1:$AH$140</definedName>
  </definedNames>
  <calcPr calcId="125725"/>
</workbook>
</file>

<file path=xl/calcChain.xml><?xml version="1.0" encoding="utf-8"?>
<calcChain xmlns="http://schemas.openxmlformats.org/spreadsheetml/2006/main">
  <c r="AD92" i="1"/>
  <c r="AG16"/>
  <c r="AG139"/>
  <c r="AG138"/>
  <c r="AH138" s="1"/>
  <c r="AF138" s="1"/>
  <c r="AG137"/>
  <c r="AH137" s="1"/>
  <c r="AF137" s="1"/>
  <c r="AG136"/>
  <c r="AG135"/>
  <c r="AH135" s="1"/>
  <c r="AF135" s="1"/>
  <c r="AG134"/>
  <c r="AH134" s="1"/>
  <c r="AG133"/>
  <c r="AH132"/>
  <c r="AG132" s="1"/>
  <c r="AH131"/>
  <c r="AG131" s="1"/>
  <c r="AG130" s="1"/>
  <c r="AH130"/>
  <c r="AF130" s="1"/>
  <c r="AH128"/>
  <c r="AG128" s="1"/>
  <c r="AF128"/>
  <c r="AH127"/>
  <c r="AF127"/>
  <c r="AH126"/>
  <c r="AG126" s="1"/>
  <c r="AH125"/>
  <c r="AG125" s="1"/>
  <c r="AH123"/>
  <c r="AG123" s="1"/>
  <c r="AH122"/>
  <c r="AG122" s="1"/>
  <c r="AH121"/>
  <c r="AF121" s="1"/>
  <c r="AH120"/>
  <c r="AG120" s="1"/>
  <c r="AH115"/>
  <c r="AF115" s="1"/>
  <c r="AH112"/>
  <c r="AG112" s="1"/>
  <c r="AF112"/>
  <c r="AH111"/>
  <c r="AG111" s="1"/>
  <c r="AF111"/>
  <c r="AH110"/>
  <c r="AF110"/>
  <c r="AH109"/>
  <c r="AG109" s="1"/>
  <c r="AF109"/>
  <c r="AH108"/>
  <c r="AF108"/>
  <c r="AH101"/>
  <c r="AF101"/>
  <c r="AH100"/>
  <c r="AF100" s="1"/>
  <c r="AH90"/>
  <c r="AG90" s="1"/>
  <c r="AG85"/>
  <c r="AH85" s="1"/>
  <c r="AF85" s="1"/>
  <c r="AG79"/>
  <c r="AH79" s="1"/>
  <c r="AF79" s="1"/>
  <c r="AG76"/>
  <c r="AH76" s="1"/>
  <c r="AF76" s="1"/>
  <c r="AG72"/>
  <c r="AH72" s="1"/>
  <c r="AF72" s="1"/>
  <c r="AG69"/>
  <c r="AG65"/>
  <c r="AH65" s="1"/>
  <c r="AF65" s="1"/>
  <c r="AG63"/>
  <c r="AH63" s="1"/>
  <c r="AF63" s="1"/>
  <c r="AG60"/>
  <c r="AG54"/>
  <c r="AG41"/>
  <c r="AH41" s="1"/>
  <c r="AH129"/>
  <c r="AG12"/>
  <c r="AH118" s="1"/>
  <c r="AG8"/>
  <c r="AH116" s="1"/>
  <c r="AH136"/>
  <c r="AF136" s="1"/>
  <c r="AF90" l="1"/>
  <c r="AH99"/>
  <c r="AG99" s="1"/>
  <c r="AF99"/>
  <c r="AF131"/>
  <c r="AF132"/>
  <c r="AF120"/>
  <c r="AF122"/>
  <c r="AF123"/>
  <c r="AF125"/>
  <c r="AF126"/>
  <c r="AF116"/>
  <c r="AG116"/>
  <c r="AG129"/>
  <c r="AF129"/>
  <c r="AF118"/>
  <c r="AG118"/>
  <c r="AG117" s="1"/>
  <c r="AH117"/>
  <c r="AF117" s="1"/>
  <c r="AF41"/>
  <c r="AF134"/>
  <c r="AH133"/>
  <c r="AF133" s="1"/>
  <c r="AG9"/>
  <c r="AH124"/>
  <c r="AG40"/>
  <c r="AH69"/>
  <c r="AF69" s="1"/>
  <c r="AG108"/>
  <c r="AG110"/>
  <c r="AH113"/>
  <c r="AH139"/>
  <c r="AF139" s="1"/>
  <c r="AH54"/>
  <c r="AF54" s="1"/>
  <c r="AH60"/>
  <c r="AG101"/>
  <c r="AH114"/>
  <c r="AG115"/>
  <c r="AG121"/>
  <c r="AG127"/>
  <c r="AG113" l="1"/>
  <c r="AF113"/>
  <c r="AH106"/>
  <c r="AH107"/>
  <c r="AF40"/>
  <c r="AF114"/>
  <c r="AG114"/>
  <c r="AF60"/>
  <c r="AF124"/>
  <c r="AG124"/>
  <c r="AG119" s="1"/>
  <c r="AH119"/>
  <c r="AF119" s="1"/>
  <c r="AH40"/>
  <c r="AG107" l="1"/>
  <c r="AF107"/>
  <c r="AF106"/>
  <c r="AG106"/>
  <c r="AG105" s="1"/>
  <c r="AG104" s="1"/>
  <c r="AH105"/>
  <c r="AH104" l="1"/>
  <c r="AF105"/>
  <c r="AF104" s="1"/>
  <c r="N131" l="1"/>
  <c r="AD6" l="1"/>
  <c r="AD17" l="1"/>
  <c r="AD89" l="1"/>
  <c r="AE89" s="1"/>
  <c r="AC89" s="1"/>
  <c r="AE90"/>
  <c r="AC90" s="1"/>
  <c r="AD90" l="1"/>
  <c r="N132" l="1"/>
  <c r="L132"/>
  <c r="K132"/>
  <c r="E131"/>
  <c r="G131" s="1"/>
  <c r="G120"/>
  <c r="I129"/>
  <c r="K129" s="1"/>
  <c r="G129"/>
  <c r="N124"/>
  <c r="M41"/>
  <c r="Q41" s="1"/>
  <c r="R41"/>
  <c r="V41" s="1"/>
  <c r="M54"/>
  <c r="Q54" s="1"/>
  <c r="R54"/>
  <c r="V54" s="1"/>
  <c r="M60"/>
  <c r="Q60" s="1"/>
  <c r="R60"/>
  <c r="V60" s="1"/>
  <c r="M63"/>
  <c r="Q63" s="1"/>
  <c r="R63"/>
  <c r="V63" s="1"/>
  <c r="M79"/>
  <c r="Q79" s="1"/>
  <c r="R79"/>
  <c r="V79" s="1"/>
  <c r="M85"/>
  <c r="Q85" s="1"/>
  <c r="R85"/>
  <c r="V85" s="1"/>
  <c r="M89"/>
  <c r="Q89" s="1"/>
  <c r="R89"/>
  <c r="V89" s="1"/>
  <c r="M92"/>
  <c r="Q92" s="1"/>
  <c r="R92"/>
  <c r="V92" s="1"/>
  <c r="M94"/>
  <c r="Q94" s="1"/>
  <c r="R94"/>
  <c r="V94" s="1"/>
  <c r="M97"/>
  <c r="Q97" s="1"/>
  <c r="R97"/>
  <c r="V97" s="1"/>
  <c r="K100"/>
  <c r="O100" s="1"/>
  <c r="AA100" s="1"/>
  <c r="AB100" s="1"/>
  <c r="G106"/>
  <c r="I106"/>
  <c r="K106" s="1"/>
  <c r="P106"/>
  <c r="R106"/>
  <c r="V106" s="1"/>
  <c r="G107"/>
  <c r="K107"/>
  <c r="P107"/>
  <c r="R107"/>
  <c r="V107" s="1"/>
  <c r="G108"/>
  <c r="I108"/>
  <c r="K108" s="1"/>
  <c r="P108"/>
  <c r="R108"/>
  <c r="V108" s="1"/>
  <c r="G109"/>
  <c r="K109"/>
  <c r="P109"/>
  <c r="R109"/>
  <c r="V109" s="1"/>
  <c r="G110"/>
  <c r="I110"/>
  <c r="K110" s="1"/>
  <c r="P110"/>
  <c r="R110"/>
  <c r="V110" s="1"/>
  <c r="G111"/>
  <c r="I111"/>
  <c r="K111" s="1"/>
  <c r="P111"/>
  <c r="R111"/>
  <c r="V111" s="1"/>
  <c r="F112"/>
  <c r="G112" s="1"/>
  <c r="K112"/>
  <c r="P112"/>
  <c r="R112"/>
  <c r="V112" s="1"/>
  <c r="F113"/>
  <c r="G113" s="1"/>
  <c r="K113"/>
  <c r="P113"/>
  <c r="R113"/>
  <c r="V113" s="1"/>
  <c r="F114"/>
  <c r="K114"/>
  <c r="P114"/>
  <c r="R114"/>
  <c r="V114" s="1"/>
  <c r="F115"/>
  <c r="G115" s="1"/>
  <c r="K115"/>
  <c r="P115"/>
  <c r="R115"/>
  <c r="V115" s="1"/>
  <c r="N118"/>
  <c r="K118"/>
  <c r="I120"/>
  <c r="K120" s="1"/>
  <c r="P120"/>
  <c r="R120"/>
  <c r="V120" s="1"/>
  <c r="G121"/>
  <c r="I121"/>
  <c r="K121" s="1"/>
  <c r="P121"/>
  <c r="R121"/>
  <c r="V121" s="1"/>
  <c r="G122"/>
  <c r="I122"/>
  <c r="K122" s="1"/>
  <c r="P122"/>
  <c r="R122"/>
  <c r="V122" s="1"/>
  <c r="G123"/>
  <c r="I123"/>
  <c r="K123" s="1"/>
  <c r="P123"/>
  <c r="R123"/>
  <c r="V123" s="1"/>
  <c r="E124"/>
  <c r="G124" s="1"/>
  <c r="K124"/>
  <c r="E125"/>
  <c r="G125" s="1"/>
  <c r="K125"/>
  <c r="P125"/>
  <c r="R125"/>
  <c r="V125" s="1"/>
  <c r="G126"/>
  <c r="K126"/>
  <c r="P126"/>
  <c r="R126"/>
  <c r="V126" s="1"/>
  <c r="G127"/>
  <c r="I127"/>
  <c r="K127" s="1"/>
  <c r="P127"/>
  <c r="R127"/>
  <c r="V127" s="1"/>
  <c r="G128"/>
  <c r="K128"/>
  <c r="P128"/>
  <c r="R128"/>
  <c r="V128" s="1"/>
  <c r="P129"/>
  <c r="R129"/>
  <c r="V129" s="1"/>
  <c r="Q134"/>
  <c r="R134"/>
  <c r="V134" s="1"/>
  <c r="Q137"/>
  <c r="R137"/>
  <c r="V137" s="1"/>
  <c r="Q138"/>
  <c r="R138"/>
  <c r="V138" s="1"/>
  <c r="Q139"/>
  <c r="V139"/>
  <c r="E93"/>
  <c r="G93" s="1"/>
  <c r="K93"/>
  <c r="M65"/>
  <c r="Q65" s="1"/>
  <c r="R65"/>
  <c r="V65" s="1"/>
  <c r="M69"/>
  <c r="Q69" s="1"/>
  <c r="R69"/>
  <c r="V69" s="1"/>
  <c r="M72"/>
  <c r="Q72" s="1"/>
  <c r="R72"/>
  <c r="V72" s="1"/>
  <c r="M76"/>
  <c r="Q76" s="1"/>
  <c r="R76"/>
  <c r="V76" s="1"/>
  <c r="Q135"/>
  <c r="R135"/>
  <c r="V135" s="1"/>
  <c r="Q136"/>
  <c r="R136"/>
  <c r="V136" s="1"/>
  <c r="K90"/>
  <c r="O90" s="1"/>
  <c r="AB90" s="1"/>
  <c r="AD60"/>
  <c r="AE60" s="1"/>
  <c r="AC60" s="1"/>
  <c r="AD63"/>
  <c r="AE63" s="1"/>
  <c r="AC63" s="1"/>
  <c r="AD65"/>
  <c r="AE65" s="1"/>
  <c r="AC65" s="1"/>
  <c r="AD69"/>
  <c r="AE69" s="1"/>
  <c r="AC69" s="1"/>
  <c r="AD72"/>
  <c r="AE72" s="1"/>
  <c r="AC72" s="1"/>
  <c r="AD76"/>
  <c r="AE76" s="1"/>
  <c r="AC76" s="1"/>
  <c r="AE92"/>
  <c r="AD8"/>
  <c r="AD12"/>
  <c r="AD16"/>
  <c r="AD135"/>
  <c r="AE135" s="1"/>
  <c r="AC135" s="1"/>
  <c r="AD136"/>
  <c r="AE136" s="1"/>
  <c r="AC136" s="1"/>
  <c r="AD137"/>
  <c r="AE137" s="1"/>
  <c r="AC137" s="1"/>
  <c r="AB91"/>
  <c r="M102"/>
  <c r="Q102" s="1"/>
  <c r="R102"/>
  <c r="V102" s="1"/>
  <c r="Q103"/>
  <c r="R103"/>
  <c r="V103" s="1"/>
  <c r="P139"/>
  <c r="R133"/>
  <c r="AB133"/>
  <c r="R42"/>
  <c r="AB42"/>
  <c r="R45"/>
  <c r="AB45"/>
  <c r="R48"/>
  <c r="AB48"/>
  <c r="R49"/>
  <c r="AB49"/>
  <c r="R50"/>
  <c r="AB50"/>
  <c r="R51"/>
  <c r="AB51"/>
  <c r="R61"/>
  <c r="AB61"/>
  <c r="R66"/>
  <c r="AB66"/>
  <c r="R68"/>
  <c r="AB68"/>
  <c r="R73"/>
  <c r="AB73"/>
  <c r="R75"/>
  <c r="AB75"/>
  <c r="R80"/>
  <c r="AB80"/>
  <c r="R82"/>
  <c r="AB82"/>
  <c r="R88"/>
  <c r="AB88"/>
  <c r="R90"/>
  <c r="R95"/>
  <c r="AB95"/>
  <c r="R96"/>
  <c r="AB96"/>
  <c r="R99"/>
  <c r="R100"/>
  <c r="R101"/>
  <c r="R91"/>
  <c r="V91" s="1"/>
  <c r="F116"/>
  <c r="G116" s="1"/>
  <c r="K116"/>
  <c r="P116"/>
  <c r="R116"/>
  <c r="V116" s="1"/>
  <c r="R117"/>
  <c r="AB117"/>
  <c r="R118"/>
  <c r="R119"/>
  <c r="AB119"/>
  <c r="R124"/>
  <c r="AB130"/>
  <c r="R131"/>
  <c r="O132" l="1"/>
  <c r="AA132" s="1"/>
  <c r="AA137"/>
  <c r="AB137" s="1"/>
  <c r="L126"/>
  <c r="Q126" s="1"/>
  <c r="AA126" s="1"/>
  <c r="AB126" s="1"/>
  <c r="L121"/>
  <c r="Q121" s="1"/>
  <c r="AA121" s="1"/>
  <c r="AB121" s="1"/>
  <c r="L131"/>
  <c r="O131" s="1"/>
  <c r="AA131" s="1"/>
  <c r="AB131" s="1"/>
  <c r="AA103"/>
  <c r="AB103" s="1"/>
  <c r="L108"/>
  <c r="Q108" s="1"/>
  <c r="AA108" s="1"/>
  <c r="AB108" s="1"/>
  <c r="AA102"/>
  <c r="AB102" s="1"/>
  <c r="AA76"/>
  <c r="AB76" s="1"/>
  <c r="L120"/>
  <c r="Q120" s="1"/>
  <c r="AA120" s="1"/>
  <c r="AB120" s="1"/>
  <c r="L109"/>
  <c r="Q109" s="1"/>
  <c r="AA109" s="1"/>
  <c r="AB109" s="1"/>
  <c r="AA72"/>
  <c r="AB72" s="1"/>
  <c r="AA85"/>
  <c r="AB85" s="1"/>
  <c r="L106"/>
  <c r="Q106" s="1"/>
  <c r="AA106" s="1"/>
  <c r="AB106" s="1"/>
  <c r="AA136"/>
  <c r="AB136" s="1"/>
  <c r="AA134"/>
  <c r="AB134" s="1"/>
  <c r="L129"/>
  <c r="Q129" s="1"/>
  <c r="AA129" s="1"/>
  <c r="AB129" s="1"/>
  <c r="L128"/>
  <c r="Q128" s="1"/>
  <c r="AA128" s="1"/>
  <c r="AB128" s="1"/>
  <c r="L127"/>
  <c r="Q127" s="1"/>
  <c r="AA127" s="1"/>
  <c r="AB127" s="1"/>
  <c r="L110"/>
  <c r="Q110" s="1"/>
  <c r="AA110" s="1"/>
  <c r="AB110" s="1"/>
  <c r="AA94"/>
  <c r="AB94" s="1"/>
  <c r="AG94" s="1"/>
  <c r="AH94" s="1"/>
  <c r="AF94" s="1"/>
  <c r="L93"/>
  <c r="O93" s="1"/>
  <c r="AA93" s="1"/>
  <c r="AB93" s="1"/>
  <c r="AH93" s="1"/>
  <c r="L124"/>
  <c r="O124" s="1"/>
  <c r="AA124" s="1"/>
  <c r="AB124" s="1"/>
  <c r="O118"/>
  <c r="AA118" s="1"/>
  <c r="AB118" s="1"/>
  <c r="L115"/>
  <c r="Q115" s="1"/>
  <c r="AA115" s="1"/>
  <c r="AB115" s="1"/>
  <c r="L112"/>
  <c r="Q112" s="1"/>
  <c r="AA112" s="1"/>
  <c r="AB112" s="1"/>
  <c r="AA89"/>
  <c r="AB89" s="1"/>
  <c r="AG89" s="1"/>
  <c r="AA65"/>
  <c r="AB65" s="1"/>
  <c r="AA138"/>
  <c r="AB138" s="1"/>
  <c r="L125"/>
  <c r="Q125" s="1"/>
  <c r="AA125" s="1"/>
  <c r="AB125" s="1"/>
  <c r="AA92"/>
  <c r="AB92" s="1"/>
  <c r="AG92" s="1"/>
  <c r="AH92" s="1"/>
  <c r="AA79"/>
  <c r="AB79" s="1"/>
  <c r="AA63"/>
  <c r="AB63" s="1"/>
  <c r="AA54"/>
  <c r="AB54" s="1"/>
  <c r="G114"/>
  <c r="L114" s="1"/>
  <c r="Q114" s="1"/>
  <c r="AA114" s="1"/>
  <c r="AB114" s="1"/>
  <c r="AA60"/>
  <c r="AB60" s="1"/>
  <c r="AA135"/>
  <c r="AB135" s="1"/>
  <c r="L113"/>
  <c r="Q113" s="1"/>
  <c r="AA113" s="1"/>
  <c r="AB113" s="1"/>
  <c r="AA69"/>
  <c r="AB69" s="1"/>
  <c r="L111"/>
  <c r="Q111" s="1"/>
  <c r="AA111" s="1"/>
  <c r="AB111" s="1"/>
  <c r="AA97"/>
  <c r="AB97" s="1"/>
  <c r="AG97" s="1"/>
  <c r="AH97" s="1"/>
  <c r="AF97" s="1"/>
  <c r="AE88"/>
  <c r="AC88" s="1"/>
  <c r="AE100"/>
  <c r="AA41"/>
  <c r="AB41" s="1"/>
  <c r="L116"/>
  <c r="Q116" s="1"/>
  <c r="AA116" s="1"/>
  <c r="AB116" s="1"/>
  <c r="AA139"/>
  <c r="AB139" s="1"/>
  <c r="L123"/>
  <c r="Q123" s="1"/>
  <c r="AA123" s="1"/>
  <c r="AB123" s="1"/>
  <c r="L122"/>
  <c r="Q122" s="1"/>
  <c r="AA122" s="1"/>
  <c r="AB122" s="1"/>
  <c r="L107"/>
  <c r="Q107" s="1"/>
  <c r="AA107" s="1"/>
  <c r="AB107" s="1"/>
  <c r="AD9"/>
  <c r="AC92"/>
  <c r="AD88"/>
  <c r="AF92" l="1"/>
  <c r="AH91"/>
  <c r="AF91" s="1"/>
  <c r="AH89"/>
  <c r="AG88"/>
  <c r="AG59" s="1"/>
  <c r="AG39" s="1"/>
  <c r="AG93"/>
  <c r="AG91" s="1"/>
  <c r="AF93"/>
  <c r="AE118"/>
  <c r="AD118" s="1"/>
  <c r="AD117" s="1"/>
  <c r="AD54"/>
  <c r="AE54" s="1"/>
  <c r="AC54" s="1"/>
  <c r="AE126"/>
  <c r="AD126" s="1"/>
  <c r="AE108"/>
  <c r="AC108" s="1"/>
  <c r="AE115"/>
  <c r="AD115" s="1"/>
  <c r="AD79"/>
  <c r="AE79" s="1"/>
  <c r="AC79" s="1"/>
  <c r="AE125"/>
  <c r="AC125" s="1"/>
  <c r="AA101"/>
  <c r="AB101" s="1"/>
  <c r="AE111"/>
  <c r="AD111" s="1"/>
  <c r="AE113"/>
  <c r="AC113" s="1"/>
  <c r="AE93"/>
  <c r="AE91" s="1"/>
  <c r="AC91" s="1"/>
  <c r="AE131"/>
  <c r="AD131" s="1"/>
  <c r="AD130" s="1"/>
  <c r="AC118"/>
  <c r="AD85"/>
  <c r="AE85" s="1"/>
  <c r="AC85" s="1"/>
  <c r="AE129"/>
  <c r="AD129" s="1"/>
  <c r="AE117"/>
  <c r="AC117" s="1"/>
  <c r="AE109"/>
  <c r="AD94"/>
  <c r="AE94" s="1"/>
  <c r="AC94" s="1"/>
  <c r="AD134"/>
  <c r="AE134" s="1"/>
  <c r="AD138"/>
  <c r="AE138" s="1"/>
  <c r="AC138" s="1"/>
  <c r="AE110"/>
  <c r="AC110" s="1"/>
  <c r="AE124"/>
  <c r="AC124" s="1"/>
  <c r="AE114"/>
  <c r="AC114" s="1"/>
  <c r="AD97"/>
  <c r="AE97" s="1"/>
  <c r="AC97" s="1"/>
  <c r="AB132"/>
  <c r="AE122"/>
  <c r="AE112"/>
  <c r="AD139"/>
  <c r="AE139"/>
  <c r="AC139" s="1"/>
  <c r="AE121"/>
  <c r="AE99"/>
  <c r="AC100"/>
  <c r="AE127"/>
  <c r="AE123"/>
  <c r="AE120"/>
  <c r="AE116"/>
  <c r="AE128"/>
  <c r="AD41"/>
  <c r="AE106"/>
  <c r="AE107"/>
  <c r="AH88" l="1"/>
  <c r="AF89"/>
  <c r="AE101"/>
  <c r="AC101" s="1"/>
  <c r="AC126"/>
  <c r="AD108"/>
  <c r="AC115"/>
  <c r="AD125"/>
  <c r="AE130"/>
  <c r="AC130" s="1"/>
  <c r="AC111"/>
  <c r="AC131"/>
  <c r="AC129"/>
  <c r="AD93"/>
  <c r="AD91" s="1"/>
  <c r="AD113"/>
  <c r="AD133"/>
  <c r="AC93"/>
  <c r="AE59"/>
  <c r="AD110"/>
  <c r="AD109"/>
  <c r="AC109"/>
  <c r="AD124"/>
  <c r="AE132"/>
  <c r="AD114"/>
  <c r="AE41"/>
  <c r="AD40"/>
  <c r="AD128"/>
  <c r="AC128"/>
  <c r="AE133"/>
  <c r="AC133" s="1"/>
  <c r="AC134"/>
  <c r="AD120"/>
  <c r="AC120"/>
  <c r="AC116"/>
  <c r="AD116"/>
  <c r="AD123"/>
  <c r="AC123"/>
  <c r="AD112"/>
  <c r="AC112"/>
  <c r="AD122"/>
  <c r="AC122"/>
  <c r="AC127"/>
  <c r="AD127"/>
  <c r="AD99"/>
  <c r="AC99"/>
  <c r="AC59" s="1"/>
  <c r="AC121"/>
  <c r="AD121"/>
  <c r="AE119"/>
  <c r="AC119" s="1"/>
  <c r="AD107"/>
  <c r="AC107"/>
  <c r="AD106"/>
  <c r="AE105"/>
  <c r="AC106"/>
  <c r="AF88" l="1"/>
  <c r="AF59" s="1"/>
  <c r="AF39" s="1"/>
  <c r="AH59"/>
  <c r="AH39" s="1"/>
  <c r="AD101"/>
  <c r="AD59"/>
  <c r="AC132"/>
  <c r="AD132"/>
  <c r="AD119"/>
  <c r="AE40"/>
  <c r="AC41"/>
  <c r="AC40" s="1"/>
  <c r="AD105"/>
  <c r="AC105"/>
  <c r="AE104"/>
  <c r="AC104" l="1"/>
  <c r="AC39" s="1"/>
  <c r="AE39"/>
  <c r="AD104"/>
  <c r="AD39" s="1"/>
  <c r="DS91" l="1"/>
</calcChain>
</file>

<file path=xl/comments1.xml><?xml version="1.0" encoding="utf-8"?>
<comments xmlns="http://schemas.openxmlformats.org/spreadsheetml/2006/main">
  <authors>
    <author>Автор</author>
  </authors>
  <commentList>
    <comment ref="E1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0,62 - с лифтом, 0,45 - без лифта</t>
        </r>
      </text>
    </comment>
    <comment ref="E10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0,78 - с лифтом, 1,09 - без лифта</t>
        </r>
      </text>
    </comment>
  </commentList>
</comments>
</file>

<file path=xl/sharedStrings.xml><?xml version="1.0" encoding="utf-8"?>
<sst xmlns="http://schemas.openxmlformats.org/spreadsheetml/2006/main" count="385" uniqueCount="276">
  <si>
    <t>м2 жил.площади</t>
  </si>
  <si>
    <t>выгр.яма</t>
  </si>
  <si>
    <t>Ремонт крышек септиков, выгребных ям</t>
  </si>
  <si>
    <t>лифт</t>
  </si>
  <si>
    <t>Техническое обслуживание и ремонт лифтов</t>
  </si>
  <si>
    <t>Содержание лифтов</t>
  </si>
  <si>
    <t>Техническое обслуживание лифтов</t>
  </si>
  <si>
    <t>1 газ.прибор</t>
  </si>
  <si>
    <t>1 раз в год</t>
  </si>
  <si>
    <t>Осмотр газопровода и оборудования системы газоснабжения</t>
  </si>
  <si>
    <t>2 раза в год</t>
  </si>
  <si>
    <t>выгр.яма объёмом 10 м3</t>
  </si>
  <si>
    <t>Очистка выгребных ям</t>
  </si>
  <si>
    <t>12.1</t>
  </si>
  <si>
    <t>11.1</t>
  </si>
  <si>
    <t>10.2</t>
  </si>
  <si>
    <t>10.1</t>
  </si>
  <si>
    <t>10</t>
  </si>
  <si>
    <t>9</t>
  </si>
  <si>
    <t>8</t>
  </si>
  <si>
    <t>Проверка и обеспечение работоспособности устройств защитного отключения</t>
  </si>
  <si>
    <t>7</t>
  </si>
  <si>
    <t>Аварийное обслуживавние оборудования и сетей электроснабжения</t>
  </si>
  <si>
    <t>Аварийное обслуживавние оборудования и сетей водоотведения</t>
  </si>
  <si>
    <t>Аварийное обслуживавние оборудования и сетей ХВС</t>
  </si>
  <si>
    <t>Аварийное обслуживавние оборудования и сетей ГВС</t>
  </si>
  <si>
    <t>Аварийное обслуживавние оборудования и сетей отопления</t>
  </si>
  <si>
    <t>6</t>
  </si>
  <si>
    <t>м2 площади чердаков и подвалов</t>
  </si>
  <si>
    <t>Дератизация чердаков и подвалов с применением готовой приманки</t>
  </si>
  <si>
    <t>Дезинсекция и дератизация</t>
  </si>
  <si>
    <t>чел.</t>
  </si>
  <si>
    <t>Сбор и вывоз твердых бытовых отходов (с размещением на свалке)</t>
  </si>
  <si>
    <t>4.1.</t>
  </si>
  <si>
    <t>4</t>
  </si>
  <si>
    <t>м2 площади мех.уборки двора</t>
  </si>
  <si>
    <t>6 раз в год</t>
  </si>
  <si>
    <t>м2 площади уборки двора</t>
  </si>
  <si>
    <t>Сдвигание свежевыпавшего снега в дни сильных снегопадов</t>
  </si>
  <si>
    <t>подъезд</t>
  </si>
  <si>
    <t>5 раза в неделю</t>
  </si>
  <si>
    <t>2 раза в неделю</t>
  </si>
  <si>
    <t>урна</t>
  </si>
  <si>
    <t>Промывка урн</t>
  </si>
  <si>
    <t>5 раз в неделю</t>
  </si>
  <si>
    <t>Очистка урн от мусора</t>
  </si>
  <si>
    <t>Подметание ступеней и площадок перед входом в подъезд</t>
  </si>
  <si>
    <t>м2 площади конт.площадки</t>
  </si>
  <si>
    <t>3 раза в неделю</t>
  </si>
  <si>
    <t>Уборка контейнерной площадки</t>
  </si>
  <si>
    <t>Уборка придомовой территории</t>
  </si>
  <si>
    <t>м2 площади МОП</t>
  </si>
  <si>
    <t>Мытье стен и дверей кабин лифтов</t>
  </si>
  <si>
    <t>Мытье пола кабин лифтов</t>
  </si>
  <si>
    <t>Влажное подметание пола кабин лифтов</t>
  </si>
  <si>
    <t>м2 площади 4 и выше этажей</t>
  </si>
  <si>
    <t>2 раза в месяц</t>
  </si>
  <si>
    <t>Мытье лестничных площадок и маршей выше третьего этажа</t>
  </si>
  <si>
    <t>Влажное подметание лестничных площадок и маршей выше третьего этажа</t>
  </si>
  <si>
    <t>1 раз в месяц</t>
  </si>
  <si>
    <t>Влажная протирка подоконников</t>
  </si>
  <si>
    <t>м2 площади 1-3 этажей</t>
  </si>
  <si>
    <t>Влажная протирка перил лестниц</t>
  </si>
  <si>
    <t>дверь</t>
  </si>
  <si>
    <t>Влажная протирка дверей</t>
  </si>
  <si>
    <t>Мытье окон, в. т.ч. рамы, переплеты, стекла (легкодоступные)</t>
  </si>
  <si>
    <t>2.1.</t>
  </si>
  <si>
    <t>Уборка мест общего пользования</t>
  </si>
  <si>
    <t xml:space="preserve"> Плата за содержание и ремонт жилого помещения</t>
  </si>
  <si>
    <t>Затраты на ед. обслуживания, руб.,коп.</t>
  </si>
  <si>
    <t>прибыль</t>
  </si>
  <si>
    <t>накладные</t>
  </si>
  <si>
    <t>ЕСН</t>
  </si>
  <si>
    <t xml:space="preserve">з/пл </t>
  </si>
  <si>
    <t>доплаты (премия, ночные, стажевые, вредность)</t>
  </si>
  <si>
    <t>разрядный коэф-т</t>
  </si>
  <si>
    <t>разряд</t>
  </si>
  <si>
    <t>Ставка 1 разряда</t>
  </si>
  <si>
    <t>Кол-во человек на единицу обслуживания</t>
  </si>
  <si>
    <t>Годовой фонд рабочего времени</t>
  </si>
  <si>
    <t>Стоимость в месяц на единицу обслуживания (без НДС)</t>
  </si>
  <si>
    <t>Стоимость единицы услуги (без НДС)</t>
  </si>
  <si>
    <t>Норматив обслуживания</t>
  </si>
  <si>
    <t>Затраты времени на годовой объем работ на ед.обслуж., час</t>
  </si>
  <si>
    <t>кол-во в год</t>
  </si>
  <si>
    <t>кол-во месяцев</t>
  </si>
  <si>
    <t>кол-во недель</t>
  </si>
  <si>
    <t>периодичность</t>
  </si>
  <si>
    <t>Норма времени, чел.*мин / единицу</t>
  </si>
  <si>
    <t>Кол-во кв.м. на единицу обслуживания</t>
  </si>
  <si>
    <t>Норма времени на кв.м (единицу обслуживания), мин</t>
  </si>
  <si>
    <t>Единица обслуживания</t>
  </si>
  <si>
    <t>№ п/п</t>
  </si>
  <si>
    <t>центральное</t>
  </si>
  <si>
    <t>газоснабжение</t>
  </si>
  <si>
    <t>естественная</t>
  </si>
  <si>
    <t>вентиляция</t>
  </si>
  <si>
    <t>Объём сетиков, выгребных ям, м3</t>
  </si>
  <si>
    <t>Количество септиков, выгребных ям, шт</t>
  </si>
  <si>
    <t>выгреб.яма 12м3</t>
  </si>
  <si>
    <t>водоотведение</t>
  </si>
  <si>
    <t>техн.вода</t>
  </si>
  <si>
    <t>гор.водоснабжение</t>
  </si>
  <si>
    <t>колодец</t>
  </si>
  <si>
    <t>хол.водостабжение</t>
  </si>
  <si>
    <t>отопление</t>
  </si>
  <si>
    <t>металлочерепица</t>
  </si>
  <si>
    <t>крыша</t>
  </si>
  <si>
    <t>сформирован</t>
  </si>
  <si>
    <t>земельный участок</t>
  </si>
  <si>
    <t>Кол-во проживающих</t>
  </si>
  <si>
    <t>Число квартир</t>
  </si>
  <si>
    <t>Кол-во лифтов, шт</t>
  </si>
  <si>
    <t>Урна, шт</t>
  </si>
  <si>
    <t>Дверь,шт</t>
  </si>
  <si>
    <t>Кол-во дверей в подъезде</t>
  </si>
  <si>
    <t>Кол-во подъездов</t>
  </si>
  <si>
    <t>Кол-во этажей</t>
  </si>
  <si>
    <t>1964</t>
  </si>
  <si>
    <t>Год постройки</t>
  </si>
  <si>
    <t>деревянный дом</t>
  </si>
  <si>
    <t>Краткая характеристика дома</t>
  </si>
  <si>
    <t>Площадь механизированной уборки дворовой территории ,м2</t>
  </si>
  <si>
    <t>Площадь земельного участка, м2</t>
  </si>
  <si>
    <t>Площадь чердака, м2</t>
  </si>
  <si>
    <t>Уборочая площадь МОП 4эт.и выше,м2</t>
  </si>
  <si>
    <t>Уборочая площадь МОП 1-3 эт.,м2</t>
  </si>
  <si>
    <t>Уборочная площадь МОП,м2</t>
  </si>
  <si>
    <t>Площадь мест общего пользования ,м2</t>
  </si>
  <si>
    <t xml:space="preserve">        обязательных работ и услуг по содержанию и ремонту</t>
  </si>
  <si>
    <t>Наименование работ и услуг</t>
  </si>
  <si>
    <t xml:space="preserve">             общего имущества собственников помещений  в многоквартирном доме</t>
  </si>
  <si>
    <t>Годовая плата (рублей)</t>
  </si>
  <si>
    <t>сумма начисления в месяц (рублей)</t>
  </si>
  <si>
    <t>Стоимость на 1 кв.м. общей площади (рублей в месяц)</t>
  </si>
  <si>
    <t>Периодичность выполнения работ и оказания услуг</t>
  </si>
  <si>
    <t>по мере необходимости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</si>
  <si>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</si>
  <si>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I. Работы, необходимые для надлежащего содержания несущих конструкций и ненесущих конструкций многоквартирного дома</t>
  </si>
  <si>
    <t>III. Работы и услуги по содержанию иного общего имущества в многоквартирном доме</t>
  </si>
  <si>
    <t>Техническое обслуживание систем вентиляции</t>
  </si>
  <si>
    <t>Текущий ремонт систем вентиляции</t>
  </si>
  <si>
    <t>при необходимости</t>
  </si>
  <si>
    <t>Техническое обслуживание системы ГВС</t>
  </si>
  <si>
    <t>Техническое обслуживание системы водоотведения</t>
  </si>
  <si>
    <t>Техническое обслуживание системы газоснабжения</t>
  </si>
  <si>
    <t>Техническое обслуживание системы ХВС</t>
  </si>
  <si>
    <t>Текущий ремонт системы электроснабжения</t>
  </si>
  <si>
    <t>Текущий ремонт системы ХВС</t>
  </si>
  <si>
    <t>Техническое обслуживание конструктивных элементов</t>
  </si>
  <si>
    <t>Проверка кровли на отсутствие протечек</t>
  </si>
  <si>
    <t>Проверка температурно-влажностного режима и воздухообмена на чердаке</t>
  </si>
  <si>
    <t>Проверка и при необходимости очистка кровли от скопления снега и наледи</t>
  </si>
  <si>
    <t>При выявлении нарушений, приводящих к протечкам кровли,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</si>
  <si>
    <t>Проверка технического состояния видимых частей конструкций фундамента</t>
  </si>
  <si>
    <t>Осмотр стен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</si>
  <si>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</si>
  <si>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Контроль состояния и восстановление плотности притворов входных дверей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</si>
  <si>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</si>
  <si>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>Проверка состояния перегородок, внутренней отделки, полов помещений, относящихся к общему имуществу в многоквартирном доме</t>
  </si>
  <si>
    <t>При выявлении нарушений целостности оконных и дверных заполнений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</t>
  </si>
  <si>
    <t>Осмотр перекрытий и покрытий</t>
  </si>
  <si>
    <t xml:space="preserve">При выявлении повреждений и нарушений конструктивных элементов - разработка плана восстановительных работ </t>
  </si>
  <si>
    <t xml:space="preserve">Проверка состояния гидроизоляции фундаментов </t>
  </si>
  <si>
    <t>Текущий ремонт конструктивных элементов</t>
  </si>
  <si>
    <t xml:space="preserve">Восстановление или замена отдельных элементов крылец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</si>
  <si>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</si>
  <si>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Осмотр системы вентиляции (каналы и шахты)</t>
  </si>
  <si>
    <t>При выявлении повреждений и нарушений - разработка плана восстановительных работ</t>
  </si>
  <si>
    <t>Устранение неплотностей, засоров в вентиляционных каналах</t>
  </si>
  <si>
    <t>Восстановление герметичности участков трубопроводов и соединительных элементов в случае их разгерметизации</t>
  </si>
  <si>
    <t>Промывка систем водоснабжения для удаления накипно-коррозионных отложений</t>
  </si>
  <si>
    <t>Промывка систем ГВС для удаления накипно-коррозионных отложений</t>
  </si>
  <si>
    <t>Текущий ремонт системы ГВС</t>
  </si>
  <si>
    <t>Текущий ремонт системы отопления</t>
  </si>
  <si>
    <t>Восстановление работоспособности (ремонт, замена) оборудования и водоразборных приборов (смесителей, кранов и т.п.), относящихся к общему имуществу в многоквартирном доме</t>
  </si>
  <si>
    <t>Восстановление работоспособности (ремонт, замена) оборудования и отопительных приборов, относящихся к общему имуществу в многоквартирном доме</t>
  </si>
  <si>
    <t>Проверка исправности, работоспособности, регулировка и техническое обслуживание элементов системы ХВС, относящихся к общедомовому имуществу многоквартирного дома</t>
  </si>
  <si>
    <t>Проверка исправности, работоспособности, регулировка и техническое обслуживание элементов системы ГВС, относящихся к общедомовому имуществу многоквартирного дома</t>
  </si>
  <si>
    <t>Проверка исправности, работоспособности, регулировка и техническое обслуживание элементов системы отопления, относящихся к общедомовому имуществу многоквартирного дома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</si>
  <si>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</t>
  </si>
  <si>
    <t>Постоянный контроль параметров воды (давления, температуры, расхода) и незамедлительное принятие мер к восстановлению требуемых параметров водоснабжения</t>
  </si>
  <si>
    <t>Постоянный контроль параметров теплоносителя (давления, температуры, расхода) и незамедлительное принятие мер к восстановлению требуемых параметров отопления</t>
  </si>
  <si>
    <t xml:space="preserve">Техническое обслуживание системы отопления 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</si>
  <si>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</si>
  <si>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</si>
  <si>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</si>
  <si>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Текущий ремонт системы водоотведения, канализации</t>
  </si>
  <si>
    <t>Восстановление исправности элементов внутренней канализации</t>
  </si>
  <si>
    <t>Контроль состояния элементов внутренней канализации</t>
  </si>
  <si>
    <t>Проверка заземления оболочки электрокабеля, замеры сопротивления изоляции проводов</t>
  </si>
  <si>
    <t xml:space="preserve">Замена вышедших из строя датчиков, проводки </t>
  </si>
  <si>
    <t>Подметание территории в теплый период</t>
  </si>
  <si>
    <t>Подметание территории в дни без снегопада</t>
  </si>
  <si>
    <t>Посыпка территории песком или смесью песка с хлоридами</t>
  </si>
  <si>
    <t>Механизированная очистка придомовой территории от снега, удаление накатов и наледи</t>
  </si>
  <si>
    <t>Очистка от снега и наледи участков территории, недоступных для механизированной уборки</t>
  </si>
  <si>
    <t>1 раз в 2 года</t>
  </si>
  <si>
    <t>2 раза в месяц в тепл пер</t>
  </si>
  <si>
    <t>лампа/квартиру, в год</t>
  </si>
  <si>
    <t>постоянно</t>
  </si>
  <si>
    <t>Мытье тамбуров, коридоров, лестничных площадок и маршей</t>
  </si>
  <si>
    <t>Подметание тамбуров, коридоров, лестничных площадок и маршей</t>
  </si>
  <si>
    <t>1</t>
  </si>
  <si>
    <t>2</t>
  </si>
  <si>
    <t>2.</t>
  </si>
  <si>
    <t>3</t>
  </si>
  <si>
    <t>5.</t>
  </si>
  <si>
    <t>9.1.</t>
  </si>
  <si>
    <t>9.2.</t>
  </si>
  <si>
    <t>11</t>
  </si>
  <si>
    <t>12</t>
  </si>
  <si>
    <t>13</t>
  </si>
  <si>
    <t>Площадь уборки дворовой территории  хоз. площадки дворником,м2</t>
  </si>
  <si>
    <t xml:space="preserve">Лифт </t>
  </si>
  <si>
    <t>13.1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</si>
  <si>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</si>
  <si>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</si>
  <si>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</si>
  <si>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</si>
  <si>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</si>
  <si>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</si>
  <si>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</si>
  <si>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</si>
  <si>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</si>
  <si>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</si>
  <si>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</si>
  <si>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</si>
  <si>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</si>
  <si>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</si>
  <si>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</si>
  <si>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</si>
  <si>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</si>
  <si>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</si>
  <si>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</si>
  <si>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</si>
  <si>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</si>
  <si>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1.12</t>
  </si>
  <si>
    <t>2.1</t>
  </si>
  <si>
    <t>2.2</t>
  </si>
  <si>
    <t>2.3</t>
  </si>
  <si>
    <t>2.4</t>
  </si>
  <si>
    <t>4.1</t>
  </si>
  <si>
    <t>4.2</t>
  </si>
  <si>
    <t>5.1</t>
  </si>
  <si>
    <t>5.2</t>
  </si>
  <si>
    <t>5.3</t>
  </si>
  <si>
    <t>6.1</t>
  </si>
  <si>
    <t>6.2</t>
  </si>
  <si>
    <t>7.1</t>
  </si>
  <si>
    <t>7.2</t>
  </si>
  <si>
    <t>7.3</t>
  </si>
  <si>
    <t>7.4</t>
  </si>
  <si>
    <t>7.5</t>
  </si>
  <si>
    <t>8.1</t>
  </si>
  <si>
    <t>8.2</t>
  </si>
  <si>
    <t>Техническое обслуживание системы электроснабжения</t>
  </si>
  <si>
    <t>м2 площади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</si>
  <si>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</t>
  </si>
  <si>
    <t>Работы по обеспечению вывоза бытовых отходов</t>
  </si>
  <si>
    <t>5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</si>
  <si>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</si>
  <si>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 xml:space="preserve"> IV. Услуги и работы по управлению многоквартирным домом</t>
  </si>
  <si>
    <t>11.2</t>
  </si>
  <si>
    <t>14</t>
  </si>
  <si>
    <t>14.1</t>
  </si>
  <si>
    <t>14.2</t>
  </si>
  <si>
    <t>Площадь жилых и нежилых помещений, м2</t>
  </si>
  <si>
    <t>Площадь подвала (тех. подполье) за искл. теплового узла, электр, узла связи</t>
  </si>
  <si>
    <t>Уборочная площадь контейнерной площадки</t>
  </si>
  <si>
    <t>Наименование конструктивных характеристик многоквартирного дома, перечень работ и услуг по содержанию МКД</t>
  </si>
  <si>
    <t>показатели</t>
  </si>
  <si>
    <t>Пример расчета экономически-обоснованного тарифа на выполнение</t>
  </si>
  <si>
    <t>кирпичный дом</t>
  </si>
  <si>
    <t>1973</t>
  </si>
  <si>
    <t>септик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</si>
</sst>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"/>
    <numFmt numFmtId="166" formatCode="0.000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10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Calibri"/>
      <family val="2"/>
    </font>
    <font>
      <b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8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179">
    <xf numFmtId="0" fontId="0" fillId="0" borderId="0" xfId="0"/>
    <xf numFmtId="2" fontId="6" fillId="0" borderId="1" xfId="4" applyNumberFormat="1" applyFont="1" applyFill="1" applyBorder="1" applyAlignment="1" applyProtection="1">
      <alignment horizontal="left" vertical="center" wrapText="1"/>
      <protection hidden="1"/>
    </xf>
    <xf numFmtId="2" fontId="8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6" fillId="0" borderId="1" xfId="3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2" fontId="6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/>
    <xf numFmtId="2" fontId="4" fillId="0" borderId="1" xfId="0" applyNumberFormat="1" applyFont="1" applyFill="1" applyBorder="1"/>
    <xf numFmtId="1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wrapText="1"/>
    </xf>
    <xf numFmtId="2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49" fontId="7" fillId="0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vertical="center" wrapText="1"/>
    </xf>
    <xf numFmtId="9" fontId="4" fillId="0" borderId="1" xfId="0" applyNumberFormat="1" applyFont="1" applyFill="1" applyBorder="1"/>
    <xf numFmtId="166" fontId="6" fillId="0" borderId="1" xfId="0" applyNumberFormat="1" applyFont="1" applyFill="1" applyBorder="1"/>
    <xf numFmtId="9" fontId="4" fillId="0" borderId="1" xfId="5" applyFont="1" applyFill="1" applyBorder="1"/>
    <xf numFmtId="164" fontId="4" fillId="0" borderId="1" xfId="0" applyNumberFormat="1" applyFont="1" applyFill="1" applyBorder="1"/>
    <xf numFmtId="165" fontId="4" fillId="0" borderId="1" xfId="0" applyNumberFormat="1" applyFont="1" applyFill="1" applyBorder="1"/>
    <xf numFmtId="2" fontId="12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7" fillId="0" borderId="1" xfId="0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3" applyFill="1" applyBorder="1" applyAlignment="1">
      <alignment horizontal="center" vertical="center" wrapText="1"/>
    </xf>
    <xf numFmtId="0" fontId="2" fillId="0" borderId="0" xfId="0" applyFont="1" applyFill="1"/>
    <xf numFmtId="49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3" applyFont="1" applyFill="1"/>
    <xf numFmtId="0" fontId="2" fillId="0" borderId="1" xfId="0" applyFont="1" applyFill="1" applyBorder="1"/>
    <xf numFmtId="2" fontId="12" fillId="0" borderId="1" xfId="2" applyNumberFormat="1" applyFont="1" applyFill="1" applyBorder="1" applyAlignment="1" applyProtection="1">
      <alignment horizontal="left" vertical="center" wrapText="1"/>
      <protection hidden="1"/>
    </xf>
    <xf numFmtId="49" fontId="12" fillId="0" borderId="3" xfId="2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3" applyNumberFormat="1" applyFont="1" applyFill="1"/>
    <xf numFmtId="1" fontId="23" fillId="0" borderId="4" xfId="3" applyNumberFormat="1" applyFont="1" applyFill="1" applyBorder="1" applyAlignment="1">
      <alignment horizontal="center" vertical="center" wrapText="1"/>
    </xf>
    <xf numFmtId="1" fontId="12" fillId="0" borderId="3" xfId="2" applyNumberFormat="1" applyFont="1" applyFill="1" applyBorder="1" applyAlignment="1" applyProtection="1">
      <alignment horizontal="center" vertical="center" wrapText="1"/>
      <protection hidden="1"/>
    </xf>
    <xf numFmtId="1" fontId="12" fillId="0" borderId="1" xfId="2" applyNumberFormat="1" applyFont="1" applyFill="1" applyBorder="1" applyAlignment="1" applyProtection="1">
      <alignment horizontal="left" vertical="center" wrapText="1"/>
      <protection hidden="1"/>
    </xf>
    <xf numFmtId="49" fontId="12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" fillId="0" borderId="4" xfId="3" applyFill="1" applyBorder="1" applyAlignment="1">
      <alignment horizontal="center" vertical="center" wrapText="1"/>
    </xf>
    <xf numFmtId="0" fontId="2" fillId="0" borderId="4" xfId="0" applyFont="1" applyFill="1" applyBorder="1"/>
    <xf numFmtId="0" fontId="1" fillId="0" borderId="1" xfId="3" applyFill="1" applyBorder="1" applyAlignment="1">
      <alignment horizontal="center" vertical="center" wrapText="1"/>
    </xf>
    <xf numFmtId="0" fontId="1" fillId="0" borderId="5" xfId="3" applyFill="1" applyBorder="1" applyAlignment="1">
      <alignment horizontal="center" vertical="center" wrapText="1"/>
    </xf>
    <xf numFmtId="0" fontId="23" fillId="0" borderId="4" xfId="3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/>
    <xf numFmtId="0" fontId="23" fillId="0" borderId="5" xfId="3" applyFont="1" applyFill="1" applyBorder="1" applyAlignment="1">
      <alignment horizontal="center" vertical="center" wrapText="1"/>
    </xf>
    <xf numFmtId="0" fontId="3" fillId="0" borderId="0" xfId="3" applyFont="1" applyFill="1"/>
    <xf numFmtId="49" fontId="1" fillId="0" borderId="4" xfId="3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/>
    <xf numFmtId="49" fontId="3" fillId="0" borderId="0" xfId="0" applyNumberFormat="1" applyFont="1" applyFill="1"/>
    <xf numFmtId="49" fontId="1" fillId="0" borderId="5" xfId="3" applyNumberFormat="1" applyFill="1" applyBorder="1" applyAlignment="1">
      <alignment horizontal="center" vertical="center" wrapText="1"/>
    </xf>
    <xf numFmtId="49" fontId="2" fillId="0" borderId="0" xfId="3" applyNumberFormat="1" applyFont="1" applyFill="1"/>
    <xf numFmtId="0" fontId="1" fillId="0" borderId="1" xfId="3" applyFill="1" applyBorder="1" applyAlignment="1">
      <alignment wrapText="1"/>
    </xf>
    <xf numFmtId="0" fontId="1" fillId="0" borderId="3" xfId="3" applyFill="1" applyBorder="1" applyAlignment="1">
      <alignment wrapText="1"/>
    </xf>
    <xf numFmtId="0" fontId="1" fillId="0" borderId="4" xfId="3" applyFill="1" applyBorder="1" applyAlignment="1">
      <alignment wrapText="1"/>
    </xf>
    <xf numFmtId="0" fontId="1" fillId="0" borderId="5" xfId="3" applyFill="1" applyBorder="1" applyAlignment="1">
      <alignment wrapText="1"/>
    </xf>
    <xf numFmtId="1" fontId="23" fillId="0" borderId="5" xfId="3" applyNumberFormat="1" applyFont="1" applyFill="1" applyBorder="1" applyAlignment="1">
      <alignment horizontal="center" vertical="center" wrapText="1"/>
    </xf>
    <xf numFmtId="2" fontId="7" fillId="0" borderId="1" xfId="4" applyNumberFormat="1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/>
    <xf numFmtId="0" fontId="7" fillId="0" borderId="1" xfId="0" applyFont="1" applyFill="1" applyBorder="1"/>
    <xf numFmtId="0" fontId="6" fillId="0" borderId="1" xfId="0" applyFont="1" applyFill="1" applyBorder="1"/>
    <xf numFmtId="2" fontId="11" fillId="0" borderId="1" xfId="3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wrapText="1"/>
    </xf>
    <xf numFmtId="0" fontId="14" fillId="0" borderId="1" xfId="0" applyFont="1" applyFill="1" applyBorder="1"/>
    <xf numFmtId="2" fontId="11" fillId="0" borderId="1" xfId="0" applyNumberFormat="1" applyFont="1" applyFill="1" applyBorder="1" applyAlignment="1">
      <alignment vertical="center" wrapText="1"/>
    </xf>
    <xf numFmtId="49" fontId="9" fillId="0" borderId="1" xfId="3" applyNumberFormat="1" applyFont="1" applyFill="1" applyBorder="1" applyAlignment="1">
      <alignment horizontal="center" vertical="center"/>
    </xf>
    <xf numFmtId="49" fontId="2" fillId="0" borderId="0" xfId="3" applyNumberFormat="1" applyFont="1" applyFill="1" applyAlignment="1">
      <alignment horizontal="center" vertical="center"/>
    </xf>
    <xf numFmtId="2" fontId="3" fillId="0" borderId="0" xfId="3" applyNumberFormat="1" applyFont="1" applyFill="1" applyAlignment="1">
      <alignment vertical="center" wrapText="1"/>
    </xf>
    <xf numFmtId="2" fontId="2" fillId="0" borderId="0" xfId="3" applyNumberFormat="1" applyFont="1" applyFill="1" applyAlignment="1">
      <alignment wrapText="1"/>
    </xf>
    <xf numFmtId="2" fontId="2" fillId="0" borderId="0" xfId="3" applyNumberFormat="1" applyFont="1" applyFill="1" applyAlignment="1">
      <alignment horizontal="center" wrapText="1"/>
    </xf>
    <xf numFmtId="49" fontId="4" fillId="0" borderId="0" xfId="3" applyNumberFormat="1" applyFont="1" applyFill="1" applyAlignment="1">
      <alignment horizontal="center" vertical="center"/>
    </xf>
    <xf numFmtId="2" fontId="4" fillId="0" borderId="0" xfId="3" applyNumberFormat="1" applyFont="1" applyFill="1" applyAlignment="1">
      <alignment wrapText="1"/>
    </xf>
    <xf numFmtId="0" fontId="4" fillId="0" borderId="0" xfId="0" applyFont="1" applyFill="1"/>
    <xf numFmtId="2" fontId="4" fillId="0" borderId="0" xfId="3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3" applyFont="1" applyFill="1" applyBorder="1"/>
    <xf numFmtId="164" fontId="9" fillId="0" borderId="1" xfId="0" applyNumberFormat="1" applyFont="1" applyFill="1" applyBorder="1"/>
    <xf numFmtId="9" fontId="9" fillId="0" borderId="1" xfId="0" applyNumberFormat="1" applyFont="1" applyFill="1" applyBorder="1"/>
    <xf numFmtId="0" fontId="9" fillId="0" borderId="0" xfId="3" applyFont="1" applyFill="1"/>
    <xf numFmtId="2" fontId="12" fillId="0" borderId="4" xfId="2" applyNumberFormat="1" applyFont="1" applyFill="1" applyBorder="1" applyAlignment="1" applyProtection="1">
      <alignment horizontal="left" vertical="center" wrapText="1"/>
      <protection hidden="1"/>
    </xf>
    <xf numFmtId="0" fontId="1" fillId="0" borderId="5" xfId="3" applyFill="1" applyBorder="1" applyAlignment="1">
      <alignment horizontal="right" vertical="center" wrapText="1"/>
    </xf>
    <xf numFmtId="0" fontId="23" fillId="0" borderId="5" xfId="3" applyFont="1" applyFill="1" applyBorder="1" applyAlignment="1">
      <alignment horizontal="right" vertical="center" wrapText="1"/>
    </xf>
    <xf numFmtId="49" fontId="1" fillId="0" borderId="5" xfId="3" applyNumberFormat="1" applyFill="1" applyBorder="1" applyAlignment="1">
      <alignment horizontal="right" vertical="center" wrapText="1"/>
    </xf>
    <xf numFmtId="0" fontId="1" fillId="0" borderId="5" xfId="3" applyFill="1" applyBorder="1" applyAlignment="1">
      <alignment horizontal="right" wrapText="1"/>
    </xf>
    <xf numFmtId="1" fontId="23" fillId="0" borderId="5" xfId="3" applyNumberFormat="1" applyFont="1" applyFill="1" applyBorder="1" applyAlignment="1">
      <alignment horizontal="right" vertical="center" wrapText="1"/>
    </xf>
    <xf numFmtId="0" fontId="1" fillId="0" borderId="2" xfId="3" applyFill="1" applyBorder="1" applyAlignment="1">
      <alignment horizontal="right" vertical="center" wrapText="1"/>
    </xf>
    <xf numFmtId="0" fontId="1" fillId="0" borderId="1" xfId="3" applyFill="1" applyBorder="1" applyAlignment="1">
      <alignment horizontal="right" vertical="center" wrapText="1"/>
    </xf>
    <xf numFmtId="2" fontId="2" fillId="0" borderId="0" xfId="3" applyNumberFormat="1" applyFont="1" applyFill="1" applyAlignment="1">
      <alignment horizontal="right" wrapText="1"/>
    </xf>
    <xf numFmtId="2" fontId="4" fillId="0" borderId="0" xfId="3" applyNumberFormat="1" applyFont="1" applyFill="1" applyAlignment="1">
      <alignment horizontal="right" wrapText="1"/>
    </xf>
    <xf numFmtId="0" fontId="24" fillId="0" borderId="0" xfId="3" applyFont="1" applyFill="1" applyBorder="1" applyAlignment="1">
      <alignment horizontal="right" vertical="center" wrapText="1"/>
    </xf>
    <xf numFmtId="2" fontId="19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17" fillId="0" borderId="1" xfId="3" applyFont="1" applyFill="1" applyBorder="1" applyAlignment="1">
      <alignment horizontal="right" vertical="center" wrapText="1"/>
    </xf>
    <xf numFmtId="0" fontId="17" fillId="0" borderId="4" xfId="3" applyFont="1" applyFill="1" applyBorder="1" applyAlignment="1">
      <alignment horizontal="right" vertical="center" wrapText="1"/>
    </xf>
    <xf numFmtId="2" fontId="17" fillId="0" borderId="1" xfId="3" applyNumberFormat="1" applyFont="1" applyFill="1" applyBorder="1" applyAlignment="1">
      <alignment horizontal="right" vertical="center"/>
    </xf>
    <xf numFmtId="2" fontId="21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22" fillId="0" borderId="1" xfId="3" applyFont="1" applyFill="1" applyBorder="1" applyAlignment="1">
      <alignment horizontal="right" vertical="center"/>
    </xf>
    <xf numFmtId="2" fontId="19" fillId="0" borderId="1" xfId="3" applyNumberFormat="1" applyFont="1" applyFill="1" applyBorder="1" applyAlignment="1">
      <alignment horizontal="right" vertical="center"/>
    </xf>
    <xf numFmtId="49" fontId="21" fillId="0" borderId="4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4" fillId="0" borderId="4" xfId="3" applyFont="1" applyFill="1" applyBorder="1" applyAlignment="1">
      <alignment horizontal="right" vertical="center" wrapText="1"/>
    </xf>
    <xf numFmtId="1" fontId="20" fillId="0" borderId="1" xfId="3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 wrapText="1"/>
    </xf>
    <xf numFmtId="1" fontId="19" fillId="0" borderId="1" xfId="3" applyNumberFormat="1" applyFont="1" applyFill="1" applyBorder="1" applyAlignment="1">
      <alignment horizontal="right"/>
    </xf>
    <xf numFmtId="1" fontId="22" fillId="0" borderId="1" xfId="3" applyNumberFormat="1" applyFont="1" applyFill="1" applyBorder="1" applyAlignment="1">
      <alignment horizontal="right"/>
    </xf>
    <xf numFmtId="1" fontId="19" fillId="0" borderId="1" xfId="3" applyNumberFormat="1" applyFont="1" applyFill="1" applyBorder="1" applyAlignment="1">
      <alignment horizontal="right" vertical="center"/>
    </xf>
    <xf numFmtId="1" fontId="22" fillId="0" borderId="1" xfId="3" applyNumberFormat="1" applyFont="1" applyFill="1" applyBorder="1" applyAlignment="1">
      <alignment horizontal="right" vertical="center"/>
    </xf>
    <xf numFmtId="2" fontId="20" fillId="0" borderId="1" xfId="3" applyNumberFormat="1" applyFont="1" applyFill="1" applyBorder="1" applyAlignment="1">
      <alignment horizontal="right" vertical="center"/>
    </xf>
    <xf numFmtId="2" fontId="6" fillId="0" borderId="1" xfId="4" applyNumberFormat="1" applyFont="1" applyFill="1" applyBorder="1" applyAlignment="1" applyProtection="1">
      <alignment horizontal="right" vertical="center" wrapText="1"/>
      <protection hidden="1"/>
    </xf>
    <xf numFmtId="2" fontId="7" fillId="0" borderId="1" xfId="4" applyNumberFormat="1" applyFont="1" applyFill="1" applyBorder="1" applyAlignment="1" applyProtection="1">
      <alignment horizontal="right" vertical="center" wrapText="1"/>
      <protection hidden="1"/>
    </xf>
    <xf numFmtId="2" fontId="4" fillId="0" borderId="1" xfId="3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horizontal="center"/>
    </xf>
    <xf numFmtId="4" fontId="7" fillId="0" borderId="1" xfId="4" applyNumberFormat="1" applyFont="1" applyFill="1" applyBorder="1" applyAlignment="1" applyProtection="1">
      <alignment horizontal="right" vertical="center" wrapText="1"/>
      <protection hidden="1"/>
    </xf>
    <xf numFmtId="4" fontId="6" fillId="0" borderId="1" xfId="4" applyNumberFormat="1" applyFont="1" applyFill="1" applyBorder="1" applyAlignment="1" applyProtection="1">
      <alignment horizontal="right" vertical="center" wrapText="1"/>
      <protection hidden="1"/>
    </xf>
    <xf numFmtId="49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9" fillId="0" borderId="1" xfId="3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0" fontId="13" fillId="0" borderId="1" xfId="3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 vertical="center"/>
    </xf>
    <xf numFmtId="0" fontId="9" fillId="0" borderId="1" xfId="3" applyFont="1" applyFill="1" applyBorder="1"/>
    <xf numFmtId="2" fontId="10" fillId="0" borderId="1" xfId="4" applyNumberFormat="1" applyFont="1" applyFill="1" applyBorder="1" applyAlignment="1" applyProtection="1">
      <alignment horizontal="left" vertical="center" wrapText="1"/>
      <protection hidden="1"/>
    </xf>
    <xf numFmtId="4" fontId="16" fillId="0" borderId="1" xfId="3" applyNumberFormat="1" applyFont="1" applyFill="1" applyBorder="1" applyAlignment="1">
      <alignment horizontal="right" vertical="center"/>
    </xf>
    <xf numFmtId="49" fontId="7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3" applyFont="1" applyFill="1" applyBorder="1" applyAlignment="1">
      <alignment horizontal="center" wrapText="1"/>
    </xf>
    <xf numFmtId="0" fontId="1" fillId="0" borderId="4" xfId="3" applyFill="1" applyBorder="1" applyAlignment="1">
      <alignment horizontal="left" vertical="center" wrapText="1"/>
    </xf>
    <xf numFmtId="0" fontId="23" fillId="0" borderId="4" xfId="3" applyFont="1" applyFill="1" applyBorder="1" applyAlignment="1">
      <alignment horizontal="left" vertical="center" wrapText="1"/>
    </xf>
    <xf numFmtId="49" fontId="1" fillId="0" borderId="4" xfId="3" applyNumberFormat="1" applyFill="1" applyBorder="1" applyAlignment="1">
      <alignment horizontal="left" vertical="center" wrapText="1"/>
    </xf>
    <xf numFmtId="0" fontId="1" fillId="0" borderId="1" xfId="3" applyFill="1" applyBorder="1" applyAlignment="1">
      <alignment horizontal="left" wrapText="1"/>
    </xf>
    <xf numFmtId="0" fontId="1" fillId="0" borderId="4" xfId="3" applyFill="1" applyBorder="1" applyAlignment="1">
      <alignment horizontal="left" wrapText="1"/>
    </xf>
    <xf numFmtId="1" fontId="23" fillId="0" borderId="4" xfId="3" applyNumberFormat="1" applyFont="1" applyFill="1" applyBorder="1" applyAlignment="1">
      <alignment horizontal="left" vertical="center" wrapText="1"/>
    </xf>
    <xf numFmtId="0" fontId="1" fillId="0" borderId="1" xfId="3" applyFill="1" applyBorder="1" applyAlignment="1">
      <alignment horizontal="left" vertical="center" wrapText="1"/>
    </xf>
    <xf numFmtId="2" fontId="9" fillId="0" borderId="1" xfId="3" applyNumberFormat="1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left" wrapText="1"/>
    </xf>
    <xf numFmtId="2" fontId="2" fillId="0" borderId="0" xfId="3" applyNumberFormat="1" applyFont="1" applyFill="1" applyAlignment="1">
      <alignment horizontal="left" wrapText="1"/>
    </xf>
    <xf numFmtId="2" fontId="4" fillId="0" borderId="0" xfId="3" applyNumberFormat="1" applyFont="1" applyFill="1" applyAlignment="1">
      <alignment horizontal="left" wrapText="1"/>
    </xf>
    <xf numFmtId="2" fontId="9" fillId="0" borderId="0" xfId="3" applyNumberFormat="1" applyFont="1" applyFill="1"/>
    <xf numFmtId="4" fontId="16" fillId="2" borderId="1" xfId="3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/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9" fontId="7" fillId="0" borderId="1" xfId="0" applyNumberFormat="1" applyFont="1" applyFill="1" applyBorder="1"/>
    <xf numFmtId="0" fontId="7" fillId="0" borderId="0" xfId="3" applyFont="1" applyFill="1"/>
    <xf numFmtId="165" fontId="17" fillId="0" borderId="1" xfId="3" applyNumberFormat="1" applyFont="1" applyFill="1" applyBorder="1" applyAlignment="1">
      <alignment horizontal="right" vertical="center"/>
    </xf>
    <xf numFmtId="165" fontId="17" fillId="0" borderId="1" xfId="3" applyNumberFormat="1" applyFont="1" applyFill="1" applyBorder="1" applyAlignment="1">
      <alignment horizontal="right" vertical="center" wrapText="1"/>
    </xf>
    <xf numFmtId="49" fontId="4" fillId="0" borderId="1" xfId="3" applyNumberFormat="1" applyFont="1" applyFill="1" applyBorder="1" applyAlignment="1">
      <alignment horizontal="center" vertical="center"/>
    </xf>
    <xf numFmtId="2" fontId="12" fillId="0" borderId="1" xfId="4" applyNumberFormat="1" applyFont="1" applyFill="1" applyBorder="1" applyAlignment="1" applyProtection="1">
      <alignment horizontal="center" vertical="center" wrapText="1"/>
      <protection hidden="1"/>
    </xf>
    <xf numFmtId="165" fontId="17" fillId="0" borderId="4" xfId="3" applyNumberFormat="1" applyFont="1" applyFill="1" applyBorder="1" applyAlignment="1">
      <alignment horizontal="right" vertical="center" wrapText="1"/>
    </xf>
    <xf numFmtId="2" fontId="6" fillId="0" borderId="1" xfId="4" applyNumberFormat="1" applyFont="1" applyFill="1" applyBorder="1" applyAlignment="1" applyProtection="1">
      <alignment horizontal="left" vertical="center" wrapText="1"/>
      <protection hidden="1"/>
    </xf>
    <xf numFmtId="4" fontId="6" fillId="0" borderId="1" xfId="4" applyNumberFormat="1" applyFont="1" applyFill="1" applyBorder="1" applyAlignment="1" applyProtection="1">
      <alignment horizontal="right" vertical="center" wrapText="1"/>
      <protection hidden="1"/>
    </xf>
    <xf numFmtId="2" fontId="6" fillId="0" borderId="1" xfId="0" applyNumberFormat="1" applyFont="1" applyFill="1" applyBorder="1" applyAlignment="1">
      <alignment wrapText="1"/>
    </xf>
    <xf numFmtId="4" fontId="2" fillId="0" borderId="0" xfId="3" applyNumberFormat="1" applyFont="1" applyFill="1" applyAlignment="1">
      <alignment wrapText="1"/>
    </xf>
    <xf numFmtId="2" fontId="4" fillId="2" borderId="1" xfId="0" applyNumberFormat="1" applyFont="1" applyFill="1" applyBorder="1"/>
    <xf numFmtId="0" fontId="4" fillId="2" borderId="1" xfId="0" applyFont="1" applyFill="1" applyBorder="1"/>
    <xf numFmtId="2" fontId="11" fillId="0" borderId="0" xfId="3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3" applyFont="1" applyFill="1" applyBorder="1" applyAlignment="1">
      <alignment horizontal="center" wrapText="1"/>
    </xf>
    <xf numFmtId="0" fontId="28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22" fillId="3" borderId="1" xfId="3" applyFont="1" applyFill="1" applyBorder="1" applyAlignment="1">
      <alignment horizontal="right" vertical="center"/>
    </xf>
    <xf numFmtId="2" fontId="29" fillId="0" borderId="1" xfId="2" applyNumberFormat="1" applyFont="1" applyFill="1" applyBorder="1" applyAlignment="1" applyProtection="1">
      <alignment horizontal="right" vertical="center" wrapText="1"/>
      <protection hidden="1"/>
    </xf>
    <xf numFmtId="2" fontId="10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0" fillId="0" borderId="1" xfId="3" applyFont="1" applyFill="1" applyBorder="1" applyAlignment="1">
      <alignment horizontal="center" vertical="center" wrapText="1"/>
    </xf>
    <xf numFmtId="2" fontId="19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21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19" fillId="0" borderId="1" xfId="3" applyNumberFormat="1" applyFont="1" applyFill="1" applyBorder="1" applyAlignment="1">
      <alignment horizontal="center" vertical="center"/>
    </xf>
    <xf numFmtId="1" fontId="21" fillId="0" borderId="1" xfId="2" applyNumberFormat="1" applyFont="1" applyFill="1" applyBorder="1" applyAlignment="1" applyProtection="1">
      <alignment horizontal="center" vertical="center" wrapText="1"/>
      <protection hidden="1"/>
    </xf>
    <xf numFmtId="1" fontId="19" fillId="0" borderId="1" xfId="3" applyNumberFormat="1" applyFont="1" applyFill="1" applyBorder="1" applyAlignment="1">
      <alignment horizontal="center" vertical="center"/>
    </xf>
    <xf numFmtId="1" fontId="20" fillId="0" borderId="1" xfId="3" applyNumberFormat="1" applyFont="1" applyFill="1" applyBorder="1" applyAlignment="1">
      <alignment horizontal="center" vertical="center"/>
    </xf>
    <xf numFmtId="1" fontId="21" fillId="0" borderId="7" xfId="2" applyNumberFormat="1" applyFont="1" applyFill="1" applyBorder="1" applyAlignment="1" applyProtection="1">
      <alignment horizontal="center" vertical="center" wrapText="1"/>
      <protection hidden="1"/>
    </xf>
    <xf numFmtId="165" fontId="19" fillId="0" borderId="1" xfId="2" applyNumberFormat="1" applyFont="1" applyFill="1" applyBorder="1" applyAlignment="1" applyProtection="1">
      <alignment horizontal="right" vertical="center" wrapText="1"/>
      <protection hidden="1"/>
    </xf>
    <xf numFmtId="49" fontId="21" fillId="0" borderId="1" xfId="2" applyNumberFormat="1" applyFont="1" applyFill="1" applyBorder="1" applyAlignment="1" applyProtection="1">
      <alignment horizontal="right" vertical="center" wrapText="1"/>
      <protection hidden="1"/>
    </xf>
    <xf numFmtId="2" fontId="21" fillId="0" borderId="7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7" xfId="2" applyNumberFormat="1" applyFont="1" applyFill="1" applyBorder="1" applyAlignment="1" applyProtection="1">
      <alignment horizontal="right" vertical="center" wrapText="1"/>
      <protection hidden="1"/>
    </xf>
    <xf numFmtId="2" fontId="10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3" applyFont="1" applyFill="1" applyBorder="1" applyAlignment="1">
      <alignment horizontal="center" vertical="center" wrapText="1"/>
    </xf>
    <xf numFmtId="2" fontId="11" fillId="0" borderId="0" xfId="3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left" wrapText="1"/>
    </xf>
    <xf numFmtId="2" fontId="4" fillId="0" borderId="4" xfId="0" applyNumberFormat="1" applyFont="1" applyFill="1" applyBorder="1" applyAlignment="1">
      <alignment horizontal="left" wrapText="1"/>
    </xf>
    <xf numFmtId="2" fontId="10" fillId="0" borderId="3" xfId="4" applyNumberFormat="1" applyFont="1" applyFill="1" applyBorder="1" applyAlignment="1" applyProtection="1">
      <alignment horizontal="center" vertical="center" wrapText="1"/>
      <protection hidden="1"/>
    </xf>
    <xf numFmtId="2" fontId="10" fillId="0" borderId="6" xfId="4" applyNumberFormat="1" applyFont="1" applyFill="1" applyBorder="1" applyAlignment="1" applyProtection="1">
      <alignment horizontal="center" vertical="center" wrapText="1"/>
      <protection hidden="1"/>
    </xf>
    <xf numFmtId="2" fontId="6" fillId="0" borderId="1" xfId="4" applyNumberFormat="1" applyFont="1" applyFill="1" applyBorder="1" applyAlignment="1" applyProtection="1">
      <alignment horizontal="left" vertical="center" wrapText="1"/>
      <protection hidden="1"/>
    </xf>
    <xf numFmtId="2" fontId="6" fillId="0" borderId="1" xfId="4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_ПП" xfId="2"/>
    <cellStyle name="Обычный_Расчёт платы за сод. 38 домов УГХ" xfId="3"/>
    <cellStyle name="Обычный_Свод_0" xfId="4"/>
    <cellStyle name="Процентный" xfId="5" builtinId="5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S148"/>
  <sheetViews>
    <sheetView tabSelected="1" view="pageBreakPreview" zoomScaleSheetLayoutView="100" workbookViewId="0">
      <selection activeCell="AG17" sqref="AG17"/>
    </sheetView>
  </sheetViews>
  <sheetFormatPr defaultRowHeight="12.75" outlineLevelRow="1" outlineLevelCol="2"/>
  <cols>
    <col min="1" max="1" width="5.140625" style="63" customWidth="1" outlineLevel="1"/>
    <col min="2" max="2" width="50.28515625" style="64" customWidth="1"/>
    <col min="3" max="3" width="16.28515625" style="130" customWidth="1"/>
    <col min="4" max="4" width="18.7109375" style="65" hidden="1" customWidth="1" outlineLevel="1"/>
    <col min="5" max="5" width="12.140625" style="24" hidden="1" customWidth="1" outlineLevel="1"/>
    <col min="6" max="6" width="8.85546875" style="24" hidden="1" customWidth="1" outlineLevel="1"/>
    <col min="7" max="8" width="8.7109375" style="24" hidden="1" customWidth="1" outlineLevel="1"/>
    <col min="9" max="9" width="6.28515625" style="24" hidden="1" customWidth="1" outlineLevel="1"/>
    <col min="10" max="10" width="7.5703125" style="24" hidden="1" customWidth="1" outlineLevel="1"/>
    <col min="11" max="11" width="7.42578125" style="24" hidden="1" customWidth="1" outlineLevel="1"/>
    <col min="12" max="12" width="13.28515625" style="24" hidden="1" customWidth="1" outlineLevel="1"/>
    <col min="13" max="13" width="9" style="24" hidden="1" customWidth="1" outlineLevel="1"/>
    <col min="14" max="14" width="10" style="24" hidden="1" customWidth="1" outlineLevel="1"/>
    <col min="15" max="15" width="11.140625" style="24" hidden="1" customWidth="1" outlineLevel="1"/>
    <col min="16" max="16" width="8.42578125" style="24" hidden="1" customWidth="1" outlineLevel="1"/>
    <col min="17" max="17" width="15.5703125" style="24" hidden="1" customWidth="1" outlineLevel="1"/>
    <col min="18" max="18" width="7.5703125" style="24" hidden="1" customWidth="1" outlineLevel="1"/>
    <col min="19" max="19" width="6.28515625" style="24" hidden="1" customWidth="1" outlineLevel="1"/>
    <col min="20" max="20" width="8.28515625" style="24" hidden="1" customWidth="1" outlineLevel="1"/>
    <col min="21" max="22" width="9.5703125" style="24" hidden="1" customWidth="1" outlineLevel="1"/>
    <col min="23" max="23" width="4.42578125" style="24" hidden="1" customWidth="1" outlineLevel="1"/>
    <col min="24" max="24" width="8.5703125" style="24" hidden="1" customWidth="1" outlineLevel="1"/>
    <col min="25" max="25" width="8" style="24" hidden="1" customWidth="1" outlineLevel="1"/>
    <col min="26" max="26" width="9.140625" style="24" hidden="1" customWidth="1" outlineLevel="1"/>
    <col min="27" max="27" width="8.85546875" style="24" hidden="1" customWidth="1" outlineLevel="1"/>
    <col min="28" max="28" width="8.140625" style="66" hidden="1" customWidth="1" outlineLevel="1" collapsed="1"/>
    <col min="29" max="29" width="12.7109375" style="84" hidden="1" customWidth="1" collapsed="1"/>
    <col min="30" max="30" width="15.140625" style="84" customWidth="1" collapsed="1"/>
    <col min="31" max="31" width="11.7109375" style="84" hidden="1" customWidth="1" outlineLevel="2"/>
    <col min="32" max="32" width="12.7109375" style="84" hidden="1" customWidth="1" collapsed="1"/>
    <col min="33" max="33" width="16" style="84" customWidth="1" collapsed="1"/>
    <col min="34" max="34" width="11.7109375" style="84" hidden="1" customWidth="1" outlineLevel="2"/>
    <col min="35" max="35" width="9.140625" style="26" collapsed="1"/>
    <col min="36" max="16384" width="9.140625" style="26"/>
  </cols>
  <sheetData>
    <row r="2" spans="1:34" s="72" customFormat="1" ht="15.75">
      <c r="A2" s="71"/>
      <c r="B2" s="172" t="s">
        <v>272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86"/>
      <c r="AD2" s="86"/>
      <c r="AE2" s="86"/>
      <c r="AF2" s="86"/>
      <c r="AG2" s="86"/>
      <c r="AH2" s="86"/>
    </row>
    <row r="3" spans="1:34" s="72" customFormat="1" ht="15.75">
      <c r="A3" s="71"/>
      <c r="B3" s="172" t="s">
        <v>129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86"/>
      <c r="AD3" s="86"/>
      <c r="AE3" s="86"/>
      <c r="AF3" s="86"/>
      <c r="AG3" s="86"/>
      <c r="AH3" s="86"/>
    </row>
    <row r="4" spans="1:34" s="72" customFormat="1" ht="15.75">
      <c r="A4" s="71"/>
      <c r="B4" s="170" t="s">
        <v>131</v>
      </c>
      <c r="C4" s="170"/>
      <c r="D4" s="17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86"/>
      <c r="AD4" s="86"/>
      <c r="AE4" s="86"/>
      <c r="AF4" s="86"/>
      <c r="AG4" s="86"/>
      <c r="AH4" s="86"/>
    </row>
    <row r="5" spans="1:34" s="120" customFormat="1" ht="46.5" customHeight="1">
      <c r="A5" s="151"/>
      <c r="B5" s="152" t="s">
        <v>270</v>
      </c>
      <c r="C5" s="152" t="s">
        <v>135</v>
      </c>
      <c r="D5" s="152"/>
      <c r="E5" s="153"/>
      <c r="F5" s="153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3"/>
      <c r="AC5" s="171" t="s">
        <v>271</v>
      </c>
      <c r="AD5" s="171"/>
      <c r="AE5" s="171"/>
      <c r="AF5" s="171" t="s">
        <v>271</v>
      </c>
      <c r="AG5" s="171"/>
      <c r="AH5" s="171"/>
    </row>
    <row r="6" spans="1:34" ht="15" customHeight="1" outlineLevel="1">
      <c r="A6" s="110"/>
      <c r="B6" s="28" t="s">
        <v>267</v>
      </c>
      <c r="C6" s="127"/>
      <c r="D6" s="3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7"/>
      <c r="AC6" s="83"/>
      <c r="AD6" s="88">
        <f>368.5+26.7</f>
        <v>395.2</v>
      </c>
      <c r="AE6" s="88"/>
      <c r="AF6" s="83"/>
      <c r="AG6" s="166">
        <v>524.70000000000005</v>
      </c>
      <c r="AH6" s="88"/>
    </row>
    <row r="7" spans="1:34" ht="15" customHeight="1" outlineLevel="1">
      <c r="A7" s="119"/>
      <c r="B7" s="76" t="s">
        <v>128</v>
      </c>
      <c r="C7" s="121"/>
      <c r="D7" s="35"/>
      <c r="E7" s="36"/>
      <c r="F7" s="36"/>
      <c r="AB7" s="38"/>
      <c r="AC7" s="77"/>
      <c r="AD7" s="143">
        <v>56.2</v>
      </c>
      <c r="AE7" s="89"/>
      <c r="AF7" s="77"/>
      <c r="AG7" s="166">
        <v>53.5</v>
      </c>
      <c r="AH7" s="89"/>
    </row>
    <row r="8" spans="1:34" ht="15" customHeight="1" outlineLevel="1">
      <c r="A8" s="25"/>
      <c r="B8" s="28" t="s">
        <v>127</v>
      </c>
      <c r="C8" s="121"/>
      <c r="D8" s="35"/>
      <c r="E8" s="27"/>
      <c r="F8" s="27"/>
      <c r="AB8" s="38"/>
      <c r="AC8" s="77"/>
      <c r="AD8" s="140">
        <f>AD7</f>
        <v>56.2</v>
      </c>
      <c r="AE8" s="88"/>
      <c r="AF8" s="77"/>
      <c r="AG8" s="140">
        <f>AG7</f>
        <v>53.5</v>
      </c>
      <c r="AH8" s="88"/>
    </row>
    <row r="9" spans="1:34" ht="15" customHeight="1" outlineLevel="1">
      <c r="A9" s="25"/>
      <c r="B9" s="28" t="s">
        <v>126</v>
      </c>
      <c r="C9" s="121"/>
      <c r="D9" s="35"/>
      <c r="E9" s="27"/>
      <c r="F9" s="27"/>
      <c r="AB9" s="38"/>
      <c r="AC9" s="77"/>
      <c r="AD9" s="140">
        <f>AD8-AD10</f>
        <v>56.2</v>
      </c>
      <c r="AE9" s="88"/>
      <c r="AF9" s="77"/>
      <c r="AG9" s="140">
        <f>AG8-AG10</f>
        <v>53.5</v>
      </c>
      <c r="AH9" s="88"/>
    </row>
    <row r="10" spans="1:34" ht="15" customHeight="1" outlineLevel="1">
      <c r="A10" s="25"/>
      <c r="B10" s="28" t="s">
        <v>125</v>
      </c>
      <c r="C10" s="121"/>
      <c r="D10" s="35"/>
      <c r="E10" s="27"/>
      <c r="F10" s="27"/>
      <c r="AB10" s="38"/>
      <c r="AC10" s="77"/>
      <c r="AD10" s="88"/>
      <c r="AE10" s="88"/>
      <c r="AF10" s="77"/>
      <c r="AG10" s="88"/>
      <c r="AH10" s="88"/>
    </row>
    <row r="11" spans="1:34" ht="15" customHeight="1" outlineLevel="1">
      <c r="A11" s="25"/>
      <c r="B11" s="28" t="s">
        <v>214</v>
      </c>
      <c r="C11" s="121"/>
      <c r="D11" s="35"/>
      <c r="E11" s="27"/>
      <c r="F11" s="27"/>
      <c r="AB11" s="38"/>
      <c r="AC11" s="77"/>
      <c r="AD11" s="88"/>
      <c r="AE11" s="88"/>
      <c r="AF11" s="77"/>
      <c r="AG11" s="88"/>
      <c r="AH11" s="88"/>
    </row>
    <row r="12" spans="1:34" s="43" customFormat="1" ht="12" customHeight="1" outlineLevel="1">
      <c r="A12" s="29"/>
      <c r="B12" s="28" t="s">
        <v>124</v>
      </c>
      <c r="C12" s="122"/>
      <c r="D12" s="39"/>
      <c r="E12" s="40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C12" s="78"/>
      <c r="AD12" s="139">
        <f>(AD6+AD7)/AD20</f>
        <v>225.7</v>
      </c>
      <c r="AE12" s="90"/>
      <c r="AF12" s="78"/>
      <c r="AG12" s="139">
        <f>(AG6+AG7)/AG20</f>
        <v>289.10000000000002</v>
      </c>
      <c r="AH12" s="90"/>
    </row>
    <row r="13" spans="1:34" ht="25.5" customHeight="1" outlineLevel="1">
      <c r="A13" s="25"/>
      <c r="B13" s="28" t="s">
        <v>268</v>
      </c>
      <c r="C13" s="121"/>
      <c r="D13" s="35"/>
      <c r="E13" s="27"/>
      <c r="F13" s="27"/>
      <c r="AB13" s="38"/>
      <c r="AC13" s="77"/>
      <c r="AD13" s="91">
        <v>0</v>
      </c>
      <c r="AE13" s="91"/>
      <c r="AF13" s="77"/>
      <c r="AG13" s="91">
        <v>0</v>
      </c>
      <c r="AH13" s="91"/>
    </row>
    <row r="14" spans="1:34" ht="15" customHeight="1" outlineLevel="1">
      <c r="A14" s="25"/>
      <c r="B14" s="28" t="s">
        <v>123</v>
      </c>
      <c r="C14" s="121"/>
      <c r="D14" s="35"/>
      <c r="E14" s="27"/>
      <c r="F14" s="27"/>
      <c r="AB14" s="38"/>
      <c r="AC14" s="77"/>
      <c r="AD14" s="91">
        <v>1332.2</v>
      </c>
      <c r="AE14" s="91"/>
      <c r="AF14" s="77"/>
      <c r="AG14" s="91">
        <v>1555</v>
      </c>
      <c r="AH14" s="91"/>
    </row>
    <row r="15" spans="1:34" s="43" customFormat="1" ht="12" customHeight="1" outlineLevel="1">
      <c r="A15" s="29"/>
      <c r="B15" s="28" t="s">
        <v>213</v>
      </c>
      <c r="C15" s="122"/>
      <c r="D15" s="39"/>
      <c r="E15" s="40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  <c r="AC15" s="78"/>
      <c r="AD15" s="88">
        <v>5.3</v>
      </c>
      <c r="AE15" s="88"/>
      <c r="AF15" s="78"/>
      <c r="AG15" s="87">
        <v>56.9</v>
      </c>
      <c r="AH15" s="88"/>
    </row>
    <row r="16" spans="1:34" s="43" customFormat="1" ht="12" customHeight="1" outlineLevel="1">
      <c r="A16" s="29"/>
      <c r="B16" s="28" t="s">
        <v>122</v>
      </c>
      <c r="C16" s="122"/>
      <c r="D16" s="39"/>
      <c r="E16" s="40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78"/>
      <c r="AD16" s="93">
        <f>IF(AE28=1,(AD14-(AD6+AD7)/AD20-AD15)*0.2,0)</f>
        <v>220.24</v>
      </c>
      <c r="AE16" s="87"/>
      <c r="AF16" s="78"/>
      <c r="AG16" s="93">
        <f>IF(AH28=1,(AG14-(AG7+AG8)/AG20-AG15)*0.2,0)</f>
        <v>288.92</v>
      </c>
      <c r="AH16" s="87"/>
    </row>
    <row r="17" spans="1:34" s="43" customFormat="1" ht="37.5" customHeight="1" outlineLevel="1">
      <c r="A17" s="29"/>
      <c r="B17" s="28" t="s">
        <v>269</v>
      </c>
      <c r="C17" s="122"/>
      <c r="D17" s="39"/>
      <c r="E17" s="40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78"/>
      <c r="AD17" s="155">
        <f>8.58/2</f>
        <v>4.29</v>
      </c>
      <c r="AE17" s="92"/>
      <c r="AF17" s="78"/>
      <c r="AG17" s="93">
        <v>4.16</v>
      </c>
      <c r="AH17" s="92"/>
    </row>
    <row r="18" spans="1:34" ht="15" outlineLevel="1">
      <c r="A18" s="25"/>
      <c r="B18" s="28" t="s">
        <v>121</v>
      </c>
      <c r="C18" s="121"/>
      <c r="D18" s="35"/>
      <c r="E18" s="40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38"/>
      <c r="AC18" s="77"/>
      <c r="AD18" s="156" t="s">
        <v>120</v>
      </c>
      <c r="AE18" s="91"/>
      <c r="AF18" s="77"/>
      <c r="AG18" s="156" t="s">
        <v>273</v>
      </c>
      <c r="AH18" s="91"/>
    </row>
    <row r="19" spans="1:34" s="48" customFormat="1" ht="15" customHeight="1" outlineLevel="1">
      <c r="A19" s="25"/>
      <c r="B19" s="34" t="s">
        <v>119</v>
      </c>
      <c r="C19" s="123"/>
      <c r="D19" s="44"/>
      <c r="E19" s="45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7"/>
      <c r="AC19" s="79"/>
      <c r="AD19" s="94" t="s">
        <v>118</v>
      </c>
      <c r="AE19" s="94"/>
      <c r="AF19" s="79"/>
      <c r="AG19" s="167" t="s">
        <v>274</v>
      </c>
      <c r="AH19" s="94"/>
    </row>
    <row r="20" spans="1:34" ht="15" customHeight="1" outlineLevel="1">
      <c r="A20" s="25"/>
      <c r="B20" s="28" t="s">
        <v>117</v>
      </c>
      <c r="C20" s="121"/>
      <c r="D20" s="35"/>
      <c r="E20" s="40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38"/>
      <c r="AC20" s="77"/>
      <c r="AD20" s="96">
        <v>2</v>
      </c>
      <c r="AE20" s="96"/>
      <c r="AF20" s="77"/>
      <c r="AG20" s="95">
        <v>2</v>
      </c>
      <c r="AH20" s="96"/>
    </row>
    <row r="21" spans="1:34" ht="15" customHeight="1" outlineLevel="1">
      <c r="A21" s="25"/>
      <c r="B21" s="28" t="s">
        <v>116</v>
      </c>
      <c r="C21" s="121"/>
      <c r="D21" s="35"/>
      <c r="E21" s="27"/>
      <c r="F21" s="27"/>
      <c r="AB21" s="38"/>
      <c r="AC21" s="77"/>
      <c r="AD21" s="96">
        <v>2</v>
      </c>
      <c r="AE21" s="96"/>
      <c r="AF21" s="77"/>
      <c r="AG21" s="95">
        <v>2</v>
      </c>
      <c r="AH21" s="96"/>
    </row>
    <row r="22" spans="1:34" ht="15" customHeight="1" outlineLevel="1">
      <c r="A22" s="25"/>
      <c r="B22" s="28" t="s">
        <v>115</v>
      </c>
      <c r="C22" s="121"/>
      <c r="D22" s="35"/>
      <c r="E22" s="27"/>
      <c r="F22" s="27"/>
      <c r="AB22" s="38"/>
      <c r="AC22" s="77"/>
      <c r="AD22" s="96">
        <v>2</v>
      </c>
      <c r="AE22" s="96"/>
      <c r="AF22" s="77"/>
      <c r="AG22" s="95">
        <v>2</v>
      </c>
      <c r="AH22" s="96"/>
    </row>
    <row r="23" spans="1:34" s="43" customFormat="1" ht="12.75" customHeight="1" outlineLevel="1">
      <c r="A23" s="29"/>
      <c r="B23" s="28" t="s">
        <v>114</v>
      </c>
      <c r="C23" s="122"/>
      <c r="D23" s="39"/>
      <c r="E23" s="27"/>
      <c r="F23" s="27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42"/>
      <c r="AC23" s="78"/>
      <c r="AD23" s="100">
        <v>4</v>
      </c>
      <c r="AE23" s="100"/>
      <c r="AF23" s="78"/>
      <c r="AG23" s="99">
        <v>4</v>
      </c>
      <c r="AH23" s="100"/>
    </row>
    <row r="24" spans="1:34" s="43" customFormat="1" ht="15" customHeight="1" outlineLevel="1">
      <c r="A24" s="29"/>
      <c r="B24" s="28" t="s">
        <v>113</v>
      </c>
      <c r="C24" s="124"/>
      <c r="D24" s="49"/>
      <c r="E24" s="27"/>
      <c r="F24" s="27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50"/>
      <c r="AC24" s="80"/>
      <c r="AD24" s="89"/>
      <c r="AE24" s="89"/>
      <c r="AF24" s="80"/>
      <c r="AG24" s="89"/>
      <c r="AH24" s="89"/>
    </row>
    <row r="25" spans="1:34" s="43" customFormat="1" ht="15" customHeight="1" outlineLevel="1">
      <c r="A25" s="29"/>
      <c r="B25" s="28" t="s">
        <v>112</v>
      </c>
      <c r="C25" s="125"/>
      <c r="D25" s="51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52"/>
      <c r="AC25" s="80"/>
      <c r="AD25" s="89"/>
      <c r="AE25" s="89"/>
      <c r="AF25" s="80"/>
      <c r="AG25" s="89"/>
      <c r="AH25" s="89"/>
    </row>
    <row r="26" spans="1:34" s="30" customFormat="1" ht="12.75" customHeight="1" outlineLevel="1">
      <c r="A26" s="32"/>
      <c r="B26" s="33" t="s">
        <v>111</v>
      </c>
      <c r="C26" s="126"/>
      <c r="D26" s="31"/>
      <c r="E26" s="27"/>
      <c r="F26" s="27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53"/>
      <c r="AC26" s="81"/>
      <c r="AD26" s="102">
        <v>11</v>
      </c>
      <c r="AE26" s="102"/>
      <c r="AF26" s="81"/>
      <c r="AG26" s="101">
        <v>12</v>
      </c>
      <c r="AH26" s="102"/>
    </row>
    <row r="27" spans="1:34" s="30" customFormat="1" ht="12.75" customHeight="1" outlineLevel="1">
      <c r="A27" s="32"/>
      <c r="B27" s="28" t="s">
        <v>110</v>
      </c>
      <c r="C27" s="126"/>
      <c r="D27" s="31"/>
      <c r="E27" s="27"/>
      <c r="F27" s="27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53"/>
      <c r="AC27" s="81"/>
      <c r="AD27" s="102">
        <v>36</v>
      </c>
      <c r="AE27" s="102"/>
      <c r="AF27" s="81"/>
      <c r="AG27" s="101">
        <v>27</v>
      </c>
      <c r="AH27" s="102"/>
    </row>
    <row r="28" spans="1:34" s="30" customFormat="1" ht="12.75" customHeight="1" outlineLevel="1">
      <c r="A28" s="32"/>
      <c r="B28" s="28" t="s">
        <v>109</v>
      </c>
      <c r="C28" s="126"/>
      <c r="D28" s="31"/>
      <c r="E28" s="27"/>
      <c r="F28" s="27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53"/>
      <c r="AC28" s="81"/>
      <c r="AD28" s="102" t="s">
        <v>108</v>
      </c>
      <c r="AE28" s="102">
        <v>1</v>
      </c>
      <c r="AF28" s="81"/>
      <c r="AG28" s="101" t="s">
        <v>108</v>
      </c>
      <c r="AH28" s="163">
        <v>1</v>
      </c>
    </row>
    <row r="29" spans="1:34" ht="13.5" customHeight="1" outlineLevel="1">
      <c r="A29" s="25"/>
      <c r="B29" s="28" t="s">
        <v>107</v>
      </c>
      <c r="C29" s="121"/>
      <c r="D29" s="35"/>
      <c r="E29" s="27"/>
      <c r="F29" s="27"/>
      <c r="AB29" s="38"/>
      <c r="AC29" s="77"/>
      <c r="AD29" s="91" t="s">
        <v>106</v>
      </c>
      <c r="AE29" s="91"/>
      <c r="AF29" s="77"/>
      <c r="AG29" s="91" t="s">
        <v>106</v>
      </c>
      <c r="AH29" s="160"/>
    </row>
    <row r="30" spans="1:34" ht="15" customHeight="1" outlineLevel="1">
      <c r="A30" s="25"/>
      <c r="B30" s="28" t="s">
        <v>105</v>
      </c>
      <c r="C30" s="121"/>
      <c r="D30" s="35"/>
      <c r="E30" s="27"/>
      <c r="F30" s="27"/>
      <c r="AB30" s="38"/>
      <c r="AC30" s="77"/>
      <c r="AD30" s="103" t="s">
        <v>93</v>
      </c>
      <c r="AE30" s="97">
        <v>1</v>
      </c>
      <c r="AF30" s="77"/>
      <c r="AG30" s="103" t="s">
        <v>93</v>
      </c>
      <c r="AH30" s="164">
        <v>1</v>
      </c>
    </row>
    <row r="31" spans="1:34" ht="15" customHeight="1" outlineLevel="1">
      <c r="A31" s="25"/>
      <c r="B31" s="28" t="s">
        <v>104</v>
      </c>
      <c r="C31" s="121"/>
      <c r="D31" s="35"/>
      <c r="E31" s="27"/>
      <c r="F31" s="27"/>
      <c r="AB31" s="38"/>
      <c r="AC31" s="77"/>
      <c r="AD31" s="95" t="s">
        <v>103</v>
      </c>
      <c r="AE31" s="95">
        <v>2</v>
      </c>
      <c r="AF31" s="77"/>
      <c r="AG31" s="91" t="s">
        <v>93</v>
      </c>
      <c r="AH31" s="162">
        <v>1</v>
      </c>
    </row>
    <row r="32" spans="1:34" ht="19.5" customHeight="1" outlineLevel="1">
      <c r="A32" s="25"/>
      <c r="B32" s="28" t="s">
        <v>102</v>
      </c>
      <c r="C32" s="121"/>
      <c r="D32" s="35"/>
      <c r="E32" s="40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38"/>
      <c r="AC32" s="77"/>
      <c r="AD32" s="95" t="s">
        <v>101</v>
      </c>
      <c r="AE32" s="95">
        <v>2</v>
      </c>
      <c r="AF32" s="77"/>
      <c r="AG32" s="91" t="s">
        <v>93</v>
      </c>
      <c r="AH32" s="162">
        <v>1</v>
      </c>
    </row>
    <row r="33" spans="1:34" ht="22.5" customHeight="1" outlineLevel="1">
      <c r="A33" s="25"/>
      <c r="B33" s="28" t="s">
        <v>100</v>
      </c>
      <c r="C33" s="121"/>
      <c r="D33" s="35"/>
      <c r="E33" s="40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38"/>
      <c r="AC33" s="77"/>
      <c r="AD33" s="91" t="s">
        <v>99</v>
      </c>
      <c r="AE33" s="97">
        <v>4</v>
      </c>
      <c r="AF33" s="77"/>
      <c r="AG33" s="91" t="s">
        <v>275</v>
      </c>
      <c r="AH33" s="162">
        <v>3</v>
      </c>
    </row>
    <row r="34" spans="1:34" s="43" customFormat="1" ht="12.75" customHeight="1" outlineLevel="1">
      <c r="A34" s="29"/>
      <c r="B34" s="28" t="s">
        <v>98</v>
      </c>
      <c r="C34" s="122"/>
      <c r="D34" s="39"/>
      <c r="E34" s="27"/>
      <c r="F34" s="2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42"/>
      <c r="AC34" s="78"/>
      <c r="AD34" s="88">
        <v>1</v>
      </c>
      <c r="AE34" s="88"/>
      <c r="AF34" s="78"/>
      <c r="AG34" s="87">
        <v>2</v>
      </c>
      <c r="AH34" s="159"/>
    </row>
    <row r="35" spans="1:34" s="43" customFormat="1" ht="12.75" customHeight="1" outlineLevel="1">
      <c r="A35" s="29"/>
      <c r="B35" s="28" t="s">
        <v>97</v>
      </c>
      <c r="C35" s="122"/>
      <c r="D35" s="39"/>
      <c r="E35" s="27"/>
      <c r="F35" s="27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42"/>
      <c r="AC35" s="78"/>
      <c r="AD35" s="88">
        <v>12</v>
      </c>
      <c r="AE35" s="88"/>
      <c r="AF35" s="78"/>
      <c r="AG35" s="93">
        <v>60</v>
      </c>
      <c r="AH35" s="161"/>
    </row>
    <row r="36" spans="1:34" ht="26.25" customHeight="1" outlineLevel="1">
      <c r="A36" s="25"/>
      <c r="B36" s="28" t="s">
        <v>96</v>
      </c>
      <c r="C36" s="121"/>
      <c r="D36" s="35"/>
      <c r="E36" s="27"/>
      <c r="F36" s="27"/>
      <c r="AB36" s="38"/>
      <c r="AC36" s="77"/>
      <c r="AD36" s="91" t="s">
        <v>95</v>
      </c>
      <c r="AE36" s="95">
        <v>1</v>
      </c>
      <c r="AF36" s="77"/>
      <c r="AG36" s="91" t="s">
        <v>95</v>
      </c>
      <c r="AH36" s="162">
        <v>1</v>
      </c>
    </row>
    <row r="37" spans="1:34" ht="15" customHeight="1" outlineLevel="1">
      <c r="A37" s="25"/>
      <c r="B37" s="28" t="s">
        <v>94</v>
      </c>
      <c r="C37" s="121"/>
      <c r="D37" s="35"/>
      <c r="E37" s="27"/>
      <c r="F37" s="27"/>
      <c r="AB37" s="23"/>
      <c r="AC37" s="82"/>
      <c r="AD37" s="168" t="s">
        <v>93</v>
      </c>
      <c r="AE37" s="169">
        <v>1</v>
      </c>
      <c r="AF37" s="82"/>
      <c r="AG37" s="168" t="s">
        <v>93</v>
      </c>
      <c r="AH37" s="165">
        <v>1</v>
      </c>
    </row>
    <row r="38" spans="1:34" s="107" customFormat="1" ht="66.75" customHeight="1">
      <c r="A38" s="151" t="s">
        <v>92</v>
      </c>
      <c r="B38" s="157" t="s">
        <v>130</v>
      </c>
      <c r="C38" s="117" t="s">
        <v>135</v>
      </c>
      <c r="D38" s="22" t="s">
        <v>91</v>
      </c>
      <c r="E38" s="22" t="s">
        <v>90</v>
      </c>
      <c r="F38" s="22" t="s">
        <v>89</v>
      </c>
      <c r="G38" s="22" t="s">
        <v>88</v>
      </c>
      <c r="H38" s="22" t="s">
        <v>87</v>
      </c>
      <c r="I38" s="22" t="s">
        <v>86</v>
      </c>
      <c r="J38" s="22" t="s">
        <v>85</v>
      </c>
      <c r="K38" s="22" t="s">
        <v>84</v>
      </c>
      <c r="L38" s="22" t="s">
        <v>83</v>
      </c>
      <c r="M38" s="22" t="s">
        <v>82</v>
      </c>
      <c r="N38" s="22" t="s">
        <v>81</v>
      </c>
      <c r="O38" s="22" t="s">
        <v>80</v>
      </c>
      <c r="P38" s="22" t="s">
        <v>79</v>
      </c>
      <c r="Q38" s="22" t="s">
        <v>78</v>
      </c>
      <c r="R38" s="22" t="s">
        <v>77</v>
      </c>
      <c r="S38" s="22" t="s">
        <v>76</v>
      </c>
      <c r="T38" s="22" t="s">
        <v>75</v>
      </c>
      <c r="U38" s="22" t="s">
        <v>74</v>
      </c>
      <c r="V38" s="22" t="s">
        <v>73</v>
      </c>
      <c r="W38" s="22" t="s">
        <v>72</v>
      </c>
      <c r="X38" s="22" t="s">
        <v>71</v>
      </c>
      <c r="Y38" s="22" t="s">
        <v>70</v>
      </c>
      <c r="Z38" s="22"/>
      <c r="AA38" s="22" t="s">
        <v>69</v>
      </c>
      <c r="AB38" s="22" t="s">
        <v>69</v>
      </c>
      <c r="AC38" s="158" t="s">
        <v>132</v>
      </c>
      <c r="AD38" s="158" t="s">
        <v>134</v>
      </c>
      <c r="AE38" s="158" t="s">
        <v>133</v>
      </c>
      <c r="AF38" s="158" t="s">
        <v>132</v>
      </c>
      <c r="AG38" s="158" t="s">
        <v>134</v>
      </c>
      <c r="AH38" s="158" t="s">
        <v>133</v>
      </c>
    </row>
    <row r="39" spans="1:34" ht="25.5" customHeight="1">
      <c r="A39" s="117"/>
      <c r="B39" s="117" t="s">
        <v>68</v>
      </c>
      <c r="C39" s="117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118">
        <f t="shared" ref="AC39:AE39" si="0">AC40+AC59+AC104+AC139</f>
        <v>328990.98719999997</v>
      </c>
      <c r="AD39" s="133">
        <f t="shared" si="0"/>
        <v>69.372256072874492</v>
      </c>
      <c r="AE39" s="118">
        <f t="shared" si="0"/>
        <v>27415.9156</v>
      </c>
      <c r="AF39" s="118">
        <f t="shared" ref="AF39:AH39" si="1">AF40+AF59+AF104+AF139</f>
        <v>348900.09840000002</v>
      </c>
      <c r="AG39" s="133">
        <f t="shared" si="1"/>
        <v>55.412632361349345</v>
      </c>
      <c r="AH39" s="118">
        <f t="shared" si="1"/>
        <v>29075.008200000004</v>
      </c>
    </row>
    <row r="40" spans="1:34" s="6" customFormat="1" ht="41.25" customHeight="1">
      <c r="A40" s="175" t="s">
        <v>138</v>
      </c>
      <c r="B40" s="176"/>
      <c r="C40" s="54"/>
      <c r="D40" s="12"/>
      <c r="E40" s="12"/>
      <c r="F40" s="12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  <c r="R40" s="8"/>
      <c r="S40" s="8"/>
      <c r="T40" s="8"/>
      <c r="U40" s="8"/>
      <c r="V40" s="8"/>
      <c r="W40" s="8"/>
      <c r="X40" s="8"/>
      <c r="Y40" s="8"/>
      <c r="Z40" s="8"/>
      <c r="AA40" s="112"/>
      <c r="AB40" s="7"/>
      <c r="AC40" s="108">
        <f t="shared" ref="AC40:AE40" si="2">AC41+AC54</f>
        <v>19775.807999999997</v>
      </c>
      <c r="AD40" s="108">
        <f t="shared" si="2"/>
        <v>4.17</v>
      </c>
      <c r="AE40" s="108">
        <f t="shared" si="2"/>
        <v>1647.9839999999999</v>
      </c>
      <c r="AF40" s="108">
        <f t="shared" ref="AF40:AH40" si="3">AF41+AF54</f>
        <v>26255.988000000005</v>
      </c>
      <c r="AG40" s="108">
        <f t="shared" si="3"/>
        <v>4.17</v>
      </c>
      <c r="AH40" s="108">
        <f t="shared" si="3"/>
        <v>2187.9990000000003</v>
      </c>
    </row>
    <row r="41" spans="1:34" s="75" customFormat="1" ht="12">
      <c r="A41" s="13" t="s">
        <v>203</v>
      </c>
      <c r="B41" s="20" t="s">
        <v>149</v>
      </c>
      <c r="C41" s="178" t="s">
        <v>10</v>
      </c>
      <c r="D41" s="59" t="s">
        <v>0</v>
      </c>
      <c r="E41" s="12"/>
      <c r="F41" s="12"/>
      <c r="G41" s="55"/>
      <c r="H41" s="55"/>
      <c r="I41" s="55"/>
      <c r="J41" s="55"/>
      <c r="K41" s="55"/>
      <c r="L41" s="55"/>
      <c r="M41" s="55">
        <f>2000*54</f>
        <v>108000</v>
      </c>
      <c r="N41" s="55"/>
      <c r="O41" s="55"/>
      <c r="P41" s="55"/>
      <c r="Q41" s="73">
        <f>1/M41</f>
        <v>9.2592592592592591E-6</v>
      </c>
      <c r="R41" s="55">
        <f>R$139</f>
        <v>6552</v>
      </c>
      <c r="S41" s="55">
        <v>4</v>
      </c>
      <c r="T41" s="55">
        <v>1.36</v>
      </c>
      <c r="U41" s="74">
        <v>0.4</v>
      </c>
      <c r="V41" s="55">
        <f>R41*T41*(1+U41)*2.6</f>
        <v>32435.020800000006</v>
      </c>
      <c r="W41" s="74">
        <v>0.3</v>
      </c>
      <c r="X41" s="74">
        <v>2</v>
      </c>
      <c r="Y41" s="74">
        <v>0.1</v>
      </c>
      <c r="Z41" s="74"/>
      <c r="AA41" s="12">
        <f>Q41*V41*(1+W41+X41)*(1+Y41)*(1+Z41)</f>
        <v>1.0901770880000003</v>
      </c>
      <c r="AB41" s="12">
        <f>ROUND(AA41,2)</f>
        <v>1.0900000000000001</v>
      </c>
      <c r="AC41" s="108">
        <f>AE41*12</f>
        <v>5169.2160000000003</v>
      </c>
      <c r="AD41" s="111">
        <f>$AB41</f>
        <v>1.0900000000000001</v>
      </c>
      <c r="AE41" s="111">
        <f>AD41*AD$6</f>
        <v>430.76800000000003</v>
      </c>
      <c r="AF41" s="108">
        <f>AH41*12</f>
        <v>6863.0760000000009</v>
      </c>
      <c r="AG41" s="111">
        <f>$AB41</f>
        <v>1.0900000000000001</v>
      </c>
      <c r="AH41" s="111">
        <f>AG41*AG$6</f>
        <v>571.92300000000012</v>
      </c>
    </row>
    <row r="42" spans="1:34" s="6" customFormat="1" ht="24">
      <c r="A42" s="3" t="s">
        <v>216</v>
      </c>
      <c r="B42" s="2" t="s">
        <v>154</v>
      </c>
      <c r="C42" s="178"/>
      <c r="D42" s="11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f>R$139</f>
        <v>6552</v>
      </c>
      <c r="S42" s="8"/>
      <c r="T42" s="8"/>
      <c r="U42" s="8"/>
      <c r="V42" s="8"/>
      <c r="W42" s="8"/>
      <c r="X42" s="8"/>
      <c r="Y42" s="8"/>
      <c r="Z42" s="8"/>
      <c r="AA42" s="7"/>
      <c r="AB42" s="7">
        <f>ROUND(AA42,2)</f>
        <v>0</v>
      </c>
      <c r="AC42" s="109"/>
      <c r="AD42" s="104"/>
      <c r="AE42" s="104"/>
      <c r="AF42" s="145"/>
      <c r="AG42" s="104"/>
      <c r="AH42" s="104"/>
    </row>
    <row r="43" spans="1:34" s="6" customFormat="1" ht="12">
      <c r="A43" s="3" t="s">
        <v>217</v>
      </c>
      <c r="B43" s="2" t="s">
        <v>163</v>
      </c>
      <c r="C43" s="178"/>
      <c r="D43" s="1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7"/>
      <c r="AB43" s="7"/>
      <c r="AC43" s="109"/>
      <c r="AD43" s="104"/>
      <c r="AE43" s="104"/>
      <c r="AF43" s="145"/>
      <c r="AG43" s="104"/>
      <c r="AH43" s="104"/>
    </row>
    <row r="44" spans="1:34" s="6" customFormat="1" ht="12">
      <c r="A44" s="3" t="s">
        <v>218</v>
      </c>
      <c r="B44" s="2" t="s">
        <v>155</v>
      </c>
      <c r="C44" s="178"/>
      <c r="D44" s="11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7"/>
      <c r="AB44" s="7"/>
      <c r="AC44" s="109"/>
      <c r="AD44" s="104"/>
      <c r="AE44" s="104"/>
      <c r="AF44" s="145"/>
      <c r="AG44" s="104"/>
      <c r="AH44" s="104"/>
    </row>
    <row r="45" spans="1:34" s="6" customFormat="1" ht="12">
      <c r="A45" s="3" t="s">
        <v>219</v>
      </c>
      <c r="B45" s="2" t="s">
        <v>161</v>
      </c>
      <c r="C45" s="178"/>
      <c r="D45" s="11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>
        <f>R$139</f>
        <v>6552</v>
      </c>
      <c r="S45" s="8"/>
      <c r="T45" s="8"/>
      <c r="U45" s="8"/>
      <c r="V45" s="8"/>
      <c r="W45" s="8"/>
      <c r="X45" s="8"/>
      <c r="Y45" s="8"/>
      <c r="Z45" s="8"/>
      <c r="AA45" s="7"/>
      <c r="AB45" s="7">
        <f>ROUND(AA45,2)</f>
        <v>0</v>
      </c>
      <c r="AC45" s="109"/>
      <c r="AD45" s="104"/>
      <c r="AE45" s="104"/>
      <c r="AF45" s="145"/>
      <c r="AG45" s="104"/>
      <c r="AH45" s="104"/>
    </row>
    <row r="46" spans="1:34" s="6" customFormat="1" ht="12">
      <c r="A46" s="3" t="s">
        <v>220</v>
      </c>
      <c r="B46" s="2" t="s">
        <v>150</v>
      </c>
      <c r="C46" s="178"/>
      <c r="D46" s="1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7"/>
      <c r="AB46" s="7"/>
      <c r="AC46" s="109"/>
      <c r="AD46" s="104"/>
      <c r="AE46" s="104"/>
      <c r="AF46" s="145"/>
      <c r="AG46" s="104"/>
      <c r="AH46" s="104"/>
    </row>
    <row r="47" spans="1:34" s="6" customFormat="1" ht="24">
      <c r="A47" s="3" t="s">
        <v>221</v>
      </c>
      <c r="B47" s="2" t="s">
        <v>151</v>
      </c>
      <c r="C47" s="178"/>
      <c r="D47" s="1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7"/>
      <c r="AB47" s="7"/>
      <c r="AC47" s="109"/>
      <c r="AD47" s="104"/>
      <c r="AE47" s="104"/>
      <c r="AF47" s="145"/>
      <c r="AG47" s="104"/>
      <c r="AH47" s="104"/>
    </row>
    <row r="48" spans="1:34" s="6" customFormat="1" ht="24">
      <c r="A48" s="3" t="s">
        <v>222</v>
      </c>
      <c r="B48" s="2" t="s">
        <v>152</v>
      </c>
      <c r="C48" s="178"/>
      <c r="D48" s="1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f>R$139</f>
        <v>6552</v>
      </c>
      <c r="S48" s="8"/>
      <c r="T48" s="8"/>
      <c r="U48" s="8"/>
      <c r="V48" s="8"/>
      <c r="W48" s="8"/>
      <c r="X48" s="8"/>
      <c r="Y48" s="8"/>
      <c r="Z48" s="8"/>
      <c r="AA48" s="7"/>
      <c r="AB48" s="7">
        <f>ROUND(AA48,2)</f>
        <v>0</v>
      </c>
      <c r="AC48" s="109"/>
      <c r="AD48" s="104"/>
      <c r="AE48" s="104"/>
      <c r="AF48" s="145"/>
      <c r="AG48" s="104"/>
      <c r="AH48" s="104"/>
    </row>
    <row r="49" spans="1:34" s="6" customFormat="1" ht="36">
      <c r="A49" s="3" t="s">
        <v>223</v>
      </c>
      <c r="B49" s="2" t="s">
        <v>156</v>
      </c>
      <c r="C49" s="178"/>
      <c r="D49" s="11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f>R$139</f>
        <v>6552</v>
      </c>
      <c r="S49" s="8"/>
      <c r="T49" s="8"/>
      <c r="U49" s="8"/>
      <c r="V49" s="8"/>
      <c r="W49" s="8"/>
      <c r="X49" s="8"/>
      <c r="Y49" s="8"/>
      <c r="Z49" s="8"/>
      <c r="AA49" s="7"/>
      <c r="AB49" s="7">
        <f>ROUND(AA49,2)</f>
        <v>0</v>
      </c>
      <c r="AC49" s="109"/>
      <c r="AD49" s="104"/>
      <c r="AE49" s="104"/>
      <c r="AF49" s="145"/>
      <c r="AG49" s="104"/>
      <c r="AH49" s="104"/>
    </row>
    <row r="50" spans="1:34" s="6" customFormat="1" ht="24">
      <c r="A50" s="3" t="s">
        <v>224</v>
      </c>
      <c r="B50" s="2" t="s">
        <v>157</v>
      </c>
      <c r="C50" s="178"/>
      <c r="D50" s="11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>
        <f>R$139</f>
        <v>6552</v>
      </c>
      <c r="S50" s="8"/>
      <c r="T50" s="8"/>
      <c r="U50" s="8"/>
      <c r="V50" s="8"/>
      <c r="W50" s="8"/>
      <c r="X50" s="8"/>
      <c r="Y50" s="8"/>
      <c r="Z50" s="8"/>
      <c r="AA50" s="7"/>
      <c r="AB50" s="7">
        <f>ROUND(AA50,2)</f>
        <v>0</v>
      </c>
      <c r="AC50" s="109"/>
      <c r="AD50" s="104"/>
      <c r="AE50" s="104"/>
      <c r="AF50" s="145"/>
      <c r="AG50" s="104"/>
      <c r="AH50" s="104"/>
    </row>
    <row r="51" spans="1:34" s="6" customFormat="1" ht="36">
      <c r="A51" s="3" t="s">
        <v>225</v>
      </c>
      <c r="B51" s="2" t="s">
        <v>159</v>
      </c>
      <c r="C51" s="178"/>
      <c r="D51" s="11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f>R$139</f>
        <v>6552</v>
      </c>
      <c r="S51" s="8"/>
      <c r="T51" s="8"/>
      <c r="U51" s="8"/>
      <c r="V51" s="8"/>
      <c r="W51" s="8"/>
      <c r="X51" s="8"/>
      <c r="Y51" s="8"/>
      <c r="Z51" s="8"/>
      <c r="AA51" s="7"/>
      <c r="AB51" s="7">
        <f>ROUND(AA51,2)</f>
        <v>0</v>
      </c>
      <c r="AC51" s="109"/>
      <c r="AD51" s="98"/>
      <c r="AE51" s="104"/>
      <c r="AF51" s="145"/>
      <c r="AG51" s="98"/>
      <c r="AH51" s="104"/>
    </row>
    <row r="52" spans="1:34" s="6" customFormat="1" ht="60">
      <c r="A52" s="3" t="s">
        <v>226</v>
      </c>
      <c r="B52" s="2" t="s">
        <v>166</v>
      </c>
      <c r="C52" s="178"/>
      <c r="D52" s="1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7"/>
      <c r="AB52" s="7"/>
      <c r="AC52" s="109"/>
      <c r="AD52" s="98"/>
      <c r="AE52" s="104"/>
      <c r="AF52" s="145"/>
      <c r="AG52" s="98"/>
      <c r="AH52" s="104"/>
    </row>
    <row r="53" spans="1:34" s="6" customFormat="1" ht="24">
      <c r="A53" s="3" t="s">
        <v>237</v>
      </c>
      <c r="B53" s="2" t="s">
        <v>162</v>
      </c>
      <c r="C53" s="178"/>
      <c r="D53" s="1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7"/>
      <c r="AB53" s="7"/>
      <c r="AC53" s="109"/>
      <c r="AD53" s="98"/>
      <c r="AE53" s="104"/>
      <c r="AF53" s="145"/>
      <c r="AG53" s="98"/>
      <c r="AH53" s="104"/>
    </row>
    <row r="54" spans="1:34" s="75" customFormat="1" ht="12">
      <c r="A54" s="62" t="s">
        <v>204</v>
      </c>
      <c r="B54" s="20" t="s">
        <v>164</v>
      </c>
      <c r="C54" s="178" t="s">
        <v>142</v>
      </c>
      <c r="D54" s="59" t="s">
        <v>0</v>
      </c>
      <c r="E54" s="12"/>
      <c r="F54" s="12"/>
      <c r="G54" s="55"/>
      <c r="H54" s="55"/>
      <c r="I54" s="55"/>
      <c r="J54" s="55"/>
      <c r="K54" s="55"/>
      <c r="L54" s="55"/>
      <c r="M54" s="55">
        <f>50*12*54</f>
        <v>32400</v>
      </c>
      <c r="N54" s="55"/>
      <c r="O54" s="55"/>
      <c r="P54" s="55"/>
      <c r="Q54" s="73">
        <f>1/M54</f>
        <v>3.0864197530864198E-5</v>
      </c>
      <c r="R54" s="55">
        <f>R$139</f>
        <v>6552</v>
      </c>
      <c r="S54" s="55">
        <v>4</v>
      </c>
      <c r="T54" s="55">
        <v>1.36</v>
      </c>
      <c r="U54" s="74">
        <v>0.7</v>
      </c>
      <c r="V54" s="55">
        <f>R54*T54*(1+U54)*2.6</f>
        <v>39385.38240000001</v>
      </c>
      <c r="W54" s="74">
        <v>0.3</v>
      </c>
      <c r="X54" s="74">
        <v>1</v>
      </c>
      <c r="Y54" s="74">
        <v>0.1</v>
      </c>
      <c r="Z54" s="74"/>
      <c r="AA54" s="12">
        <f>Q54*V54*(1+W54+X54)*(1+Y54)*(1+Z54)</f>
        <v>3.075463502222223</v>
      </c>
      <c r="AB54" s="12">
        <f>ROUND(AA54,2)</f>
        <v>3.08</v>
      </c>
      <c r="AC54" s="108">
        <f>AE54*12</f>
        <v>14606.591999999999</v>
      </c>
      <c r="AD54" s="105">
        <f>$AB54</f>
        <v>3.08</v>
      </c>
      <c r="AE54" s="105">
        <f>AD54*AD$6</f>
        <v>1217.2159999999999</v>
      </c>
      <c r="AF54" s="108">
        <f>AH54*12</f>
        <v>19392.912000000004</v>
      </c>
      <c r="AG54" s="105">
        <f>$AB54</f>
        <v>3.08</v>
      </c>
      <c r="AH54" s="105">
        <f>AG54*AG$6</f>
        <v>1616.0760000000002</v>
      </c>
    </row>
    <row r="55" spans="1:34" s="75" customFormat="1" ht="48">
      <c r="A55" s="141" t="s">
        <v>238</v>
      </c>
      <c r="B55" s="2" t="s">
        <v>153</v>
      </c>
      <c r="C55" s="178"/>
      <c r="D55" s="59"/>
      <c r="E55" s="12"/>
      <c r="F55" s="12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73"/>
      <c r="R55" s="55"/>
      <c r="S55" s="55"/>
      <c r="T55" s="55"/>
      <c r="U55" s="74"/>
      <c r="V55" s="55"/>
      <c r="W55" s="74"/>
      <c r="X55" s="74"/>
      <c r="Y55" s="74"/>
      <c r="Z55" s="74"/>
      <c r="AA55" s="12"/>
      <c r="AB55" s="12"/>
      <c r="AC55" s="108"/>
      <c r="AD55" s="105"/>
      <c r="AE55" s="105"/>
      <c r="AF55" s="108"/>
      <c r="AG55" s="105"/>
      <c r="AH55" s="105"/>
    </row>
    <row r="56" spans="1:34" s="75" customFormat="1" ht="12">
      <c r="A56" s="141" t="s">
        <v>239</v>
      </c>
      <c r="B56" s="2" t="s">
        <v>165</v>
      </c>
      <c r="C56" s="178"/>
      <c r="D56" s="59"/>
      <c r="E56" s="12"/>
      <c r="F56" s="12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73"/>
      <c r="R56" s="55"/>
      <c r="S56" s="55"/>
      <c r="T56" s="55"/>
      <c r="U56" s="74"/>
      <c r="V56" s="55"/>
      <c r="W56" s="74"/>
      <c r="X56" s="74"/>
      <c r="Y56" s="74"/>
      <c r="Z56" s="74"/>
      <c r="AA56" s="12"/>
      <c r="AB56" s="12"/>
      <c r="AC56" s="108"/>
      <c r="AD56" s="105"/>
      <c r="AE56" s="105"/>
      <c r="AF56" s="108"/>
      <c r="AG56" s="105"/>
      <c r="AH56" s="105"/>
    </row>
    <row r="57" spans="1:34" s="75" customFormat="1" ht="48">
      <c r="A57" s="141" t="s">
        <v>240</v>
      </c>
      <c r="B57" s="2" t="s">
        <v>158</v>
      </c>
      <c r="C57" s="178"/>
      <c r="D57" s="59"/>
      <c r="E57" s="12"/>
      <c r="F57" s="12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73"/>
      <c r="R57" s="55"/>
      <c r="S57" s="55"/>
      <c r="T57" s="55"/>
      <c r="U57" s="74"/>
      <c r="V57" s="55"/>
      <c r="W57" s="74"/>
      <c r="X57" s="74"/>
      <c r="Y57" s="74"/>
      <c r="Z57" s="74"/>
      <c r="AA57" s="12"/>
      <c r="AB57" s="12"/>
      <c r="AC57" s="108"/>
      <c r="AD57" s="105"/>
      <c r="AE57" s="105"/>
      <c r="AF57" s="108"/>
      <c r="AG57" s="105"/>
      <c r="AH57" s="105"/>
    </row>
    <row r="58" spans="1:34" s="75" customFormat="1" ht="48">
      <c r="A58" s="141" t="s">
        <v>241</v>
      </c>
      <c r="B58" s="2" t="s">
        <v>160</v>
      </c>
      <c r="C58" s="178"/>
      <c r="D58" s="59"/>
      <c r="E58" s="12"/>
      <c r="F58" s="12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73"/>
      <c r="R58" s="55"/>
      <c r="S58" s="55"/>
      <c r="T58" s="55"/>
      <c r="U58" s="74"/>
      <c r="V58" s="55"/>
      <c r="W58" s="74"/>
      <c r="X58" s="74"/>
      <c r="Y58" s="74"/>
      <c r="Z58" s="74"/>
      <c r="AA58" s="12"/>
      <c r="AB58" s="12"/>
      <c r="AC58" s="108"/>
      <c r="AD58" s="105"/>
      <c r="AE58" s="105"/>
      <c r="AF58" s="108"/>
      <c r="AG58" s="105"/>
      <c r="AH58" s="105"/>
    </row>
    <row r="59" spans="1:34" s="6" customFormat="1" ht="48">
      <c r="A59" s="3"/>
      <c r="B59" s="142" t="s">
        <v>137</v>
      </c>
      <c r="C59" s="1"/>
      <c r="D59" s="11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/>
      <c r="AB59" s="7"/>
      <c r="AC59" s="108">
        <f t="shared" ref="AC59:AE59" si="4">SUM(AC60:AC88,AC91,AC94:AC99)</f>
        <v>79699.8</v>
      </c>
      <c r="AD59" s="108">
        <f t="shared" si="4"/>
        <v>16.805794534412957</v>
      </c>
      <c r="AE59" s="108">
        <f t="shared" si="4"/>
        <v>6641.6500000000005</v>
      </c>
      <c r="AF59" s="108">
        <f t="shared" ref="AF59:AH59" si="5">SUM(AF60:AF88,AF91,AF94:AF99)</f>
        <v>49831.152000000002</v>
      </c>
      <c r="AG59" s="108">
        <f t="shared" si="5"/>
        <v>7.9142290832856874</v>
      </c>
      <c r="AH59" s="108">
        <f t="shared" si="5"/>
        <v>4152.5960000000005</v>
      </c>
    </row>
    <row r="60" spans="1:34" s="75" customFormat="1" ht="15" customHeight="1">
      <c r="A60" s="13" t="s">
        <v>203</v>
      </c>
      <c r="B60" s="20" t="s">
        <v>140</v>
      </c>
      <c r="C60" s="178" t="s">
        <v>10</v>
      </c>
      <c r="D60" s="59" t="s">
        <v>0</v>
      </c>
      <c r="E60" s="12"/>
      <c r="F60" s="12"/>
      <c r="G60" s="55"/>
      <c r="H60" s="55"/>
      <c r="I60" s="55"/>
      <c r="J60" s="55"/>
      <c r="K60" s="55"/>
      <c r="L60" s="55"/>
      <c r="M60" s="55">
        <f>375*54/0.2/0.5</f>
        <v>202500</v>
      </c>
      <c r="N60" s="55"/>
      <c r="O60" s="55"/>
      <c r="P60" s="55"/>
      <c r="Q60" s="73">
        <f>1/M60</f>
        <v>4.9382716049382717E-6</v>
      </c>
      <c r="R60" s="55">
        <f>R$139</f>
        <v>6552</v>
      </c>
      <c r="S60" s="55">
        <v>4</v>
      </c>
      <c r="T60" s="55">
        <v>1.36</v>
      </c>
      <c r="U60" s="74">
        <v>0.4</v>
      </c>
      <c r="V60" s="55">
        <f>R60*T60*(1+U60)*2.6</f>
        <v>32435.020800000006</v>
      </c>
      <c r="W60" s="74">
        <v>0.3</v>
      </c>
      <c r="X60" s="74">
        <v>0.1</v>
      </c>
      <c r="Y60" s="74">
        <v>0.1</v>
      </c>
      <c r="Z60" s="74"/>
      <c r="AA60" s="12">
        <f>Q60*V60*(1+W60+X60)*(1+Y60)*(1+Z60)</f>
        <v>0.2466663310222223</v>
      </c>
      <c r="AB60" s="12">
        <f>ROUND(AA60,2)</f>
        <v>0.25</v>
      </c>
      <c r="AC60" s="108">
        <f>AE60*12</f>
        <v>1185.5999999999999</v>
      </c>
      <c r="AD60" s="105">
        <f>IF(AE36=1,$AB60,0)</f>
        <v>0.25</v>
      </c>
      <c r="AE60" s="105">
        <f>AD60*AD$6</f>
        <v>98.8</v>
      </c>
      <c r="AF60" s="108">
        <f>AH60*12</f>
        <v>1574.1000000000001</v>
      </c>
      <c r="AG60" s="105">
        <f>IF(AH36=1,$AB60,0)</f>
        <v>0.25</v>
      </c>
      <c r="AH60" s="105">
        <f>AG60*AG$6</f>
        <v>131.17500000000001</v>
      </c>
    </row>
    <row r="61" spans="1:34" s="6" customFormat="1" ht="12" customHeight="1">
      <c r="A61" s="3" t="s">
        <v>216</v>
      </c>
      <c r="B61" s="2" t="s">
        <v>167</v>
      </c>
      <c r="C61" s="178"/>
      <c r="D61" s="11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f>R$139</f>
        <v>6552</v>
      </c>
      <c r="S61" s="8"/>
      <c r="T61" s="8"/>
      <c r="U61" s="8"/>
      <c r="V61" s="8"/>
      <c r="W61" s="8"/>
      <c r="X61" s="8"/>
      <c r="Y61" s="8"/>
      <c r="Z61" s="8"/>
      <c r="AA61" s="113"/>
      <c r="AB61" s="7">
        <f>ROUND(AA61,2)</f>
        <v>0</v>
      </c>
      <c r="AC61" s="109"/>
      <c r="AD61" s="106"/>
      <c r="AE61" s="104"/>
      <c r="AF61" s="145"/>
      <c r="AG61" s="106"/>
      <c r="AH61" s="104"/>
    </row>
    <row r="62" spans="1:34" s="6" customFormat="1" ht="24">
      <c r="A62" s="3" t="s">
        <v>217</v>
      </c>
      <c r="B62" s="2" t="s">
        <v>168</v>
      </c>
      <c r="C62" s="178"/>
      <c r="D62" s="11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13"/>
      <c r="AB62" s="7"/>
      <c r="AC62" s="109"/>
      <c r="AD62" s="106"/>
      <c r="AE62" s="104"/>
      <c r="AF62" s="145"/>
      <c r="AG62" s="106"/>
      <c r="AH62" s="104"/>
    </row>
    <row r="63" spans="1:34" s="75" customFormat="1" ht="12">
      <c r="A63" s="13" t="s">
        <v>205</v>
      </c>
      <c r="B63" s="20" t="s">
        <v>141</v>
      </c>
      <c r="C63" s="178" t="s">
        <v>142</v>
      </c>
      <c r="D63" s="59" t="s">
        <v>0</v>
      </c>
      <c r="E63" s="12"/>
      <c r="F63" s="12"/>
      <c r="G63" s="55"/>
      <c r="H63" s="55"/>
      <c r="I63" s="55"/>
      <c r="J63" s="55"/>
      <c r="K63" s="55"/>
      <c r="L63" s="55"/>
      <c r="M63" s="55">
        <f>2000000</f>
        <v>2000000</v>
      </c>
      <c r="N63" s="55"/>
      <c r="O63" s="55"/>
      <c r="P63" s="55"/>
      <c r="Q63" s="73">
        <f>1/M63</f>
        <v>4.9999999999999998E-7</v>
      </c>
      <c r="R63" s="55">
        <f>R$139</f>
        <v>6552</v>
      </c>
      <c r="S63" s="55">
        <v>4</v>
      </c>
      <c r="T63" s="55">
        <v>1.36</v>
      </c>
      <c r="U63" s="74">
        <v>0.7</v>
      </c>
      <c r="V63" s="55">
        <f>R63*T63*(1+U63)*2.6</f>
        <v>39385.38240000001</v>
      </c>
      <c r="W63" s="74">
        <v>0.3</v>
      </c>
      <c r="X63" s="74">
        <v>1</v>
      </c>
      <c r="Y63" s="74">
        <v>0.1</v>
      </c>
      <c r="Z63" s="74"/>
      <c r="AA63" s="12">
        <f>Q63*V63*(1+W63+X63)*(1+Y63)*(1+Z63)</f>
        <v>4.9822508736000012E-2</v>
      </c>
      <c r="AB63" s="12">
        <f>ROUND(AA63,2)</f>
        <v>0.05</v>
      </c>
      <c r="AC63" s="108">
        <f>AE63*12</f>
        <v>237.12</v>
      </c>
      <c r="AD63" s="105">
        <f>IF(AE36=1,$AB63,0)</f>
        <v>0.05</v>
      </c>
      <c r="AE63" s="105">
        <f>AD63*AD$6</f>
        <v>19.760000000000002</v>
      </c>
      <c r="AF63" s="108">
        <f>AH63*12</f>
        <v>314.82000000000005</v>
      </c>
      <c r="AG63" s="105">
        <f>IF(AH36=1,$AB63,0)</f>
        <v>0.05</v>
      </c>
      <c r="AH63" s="105">
        <f>AG63*AG$6</f>
        <v>26.235000000000003</v>
      </c>
    </row>
    <row r="64" spans="1:34" s="6" customFormat="1" ht="13.5" customHeight="1">
      <c r="A64" s="3" t="s">
        <v>238</v>
      </c>
      <c r="B64" s="2" t="s">
        <v>169</v>
      </c>
      <c r="C64" s="178"/>
      <c r="D64" s="11"/>
      <c r="E64" s="12"/>
      <c r="F64" s="12"/>
      <c r="G64" s="8"/>
      <c r="H64" s="8"/>
      <c r="I64" s="8"/>
      <c r="J64" s="8"/>
      <c r="K64" s="8"/>
      <c r="L64" s="8"/>
      <c r="M64" s="8"/>
      <c r="N64" s="8"/>
      <c r="O64" s="8"/>
      <c r="P64" s="8"/>
      <c r="Q64" s="18"/>
      <c r="R64" s="8"/>
      <c r="S64" s="8"/>
      <c r="T64" s="8"/>
      <c r="U64" s="15"/>
      <c r="V64" s="8"/>
      <c r="W64" s="15"/>
      <c r="X64" s="15"/>
      <c r="Y64" s="15"/>
      <c r="Z64" s="15"/>
      <c r="AA64" s="7"/>
      <c r="AB64" s="7"/>
      <c r="AC64" s="109"/>
      <c r="AD64" s="104"/>
      <c r="AE64" s="104"/>
      <c r="AF64" s="145"/>
      <c r="AG64" s="104"/>
      <c r="AH64" s="104"/>
    </row>
    <row r="65" spans="1:34" s="75" customFormat="1" ht="15" customHeight="1">
      <c r="A65" s="13" t="s">
        <v>206</v>
      </c>
      <c r="B65" s="20" t="s">
        <v>146</v>
      </c>
      <c r="C65" s="178" t="s">
        <v>136</v>
      </c>
      <c r="D65" s="59" t="s">
        <v>0</v>
      </c>
      <c r="E65" s="12"/>
      <c r="F65" s="12"/>
      <c r="G65" s="55"/>
      <c r="H65" s="55"/>
      <c r="I65" s="55"/>
      <c r="J65" s="55"/>
      <c r="K65" s="55"/>
      <c r="L65" s="55"/>
      <c r="M65" s="55">
        <f>375*54/0.4/0.5</f>
        <v>101250</v>
      </c>
      <c r="N65" s="55"/>
      <c r="O65" s="55"/>
      <c r="P65" s="55"/>
      <c r="Q65" s="73">
        <f>1/M65</f>
        <v>9.8765432098765433E-6</v>
      </c>
      <c r="R65" s="55">
        <f>R$139</f>
        <v>6552</v>
      </c>
      <c r="S65" s="55">
        <v>4</v>
      </c>
      <c r="T65" s="55">
        <v>1.36</v>
      </c>
      <c r="U65" s="74">
        <v>0.4</v>
      </c>
      <c r="V65" s="55">
        <f>R65*T65*(1+U65)*2.6</f>
        <v>32435.020800000006</v>
      </c>
      <c r="W65" s="74">
        <v>0.3</v>
      </c>
      <c r="X65" s="74">
        <v>0.1</v>
      </c>
      <c r="Y65" s="74">
        <v>0.1</v>
      </c>
      <c r="Z65" s="74"/>
      <c r="AA65" s="12">
        <f>Q65*V65*(1+W65+X65)*(1+Y65)*(1+Z65)</f>
        <v>0.49333266204444459</v>
      </c>
      <c r="AB65" s="12">
        <f>ROUND(AA65,2)</f>
        <v>0.49</v>
      </c>
      <c r="AC65" s="108">
        <f>AE65*12</f>
        <v>0</v>
      </c>
      <c r="AD65" s="105">
        <f>IF(AE31=1,$AB65,0)</f>
        <v>0</v>
      </c>
      <c r="AE65" s="111">
        <f>AD65*AD$6</f>
        <v>0</v>
      </c>
      <c r="AF65" s="108">
        <f>AH65*12</f>
        <v>3085.2359999999999</v>
      </c>
      <c r="AG65" s="105">
        <f>IF(AH31=1,$AB65,0)</f>
        <v>0.49</v>
      </c>
      <c r="AH65" s="111">
        <f>AG65*AG$6</f>
        <v>257.10300000000001</v>
      </c>
    </row>
    <row r="66" spans="1:34" s="6" customFormat="1" ht="36">
      <c r="A66" s="3" t="s">
        <v>227</v>
      </c>
      <c r="B66" s="2" t="s">
        <v>177</v>
      </c>
      <c r="C66" s="178"/>
      <c r="D66" s="11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>
        <f>R$139</f>
        <v>6552</v>
      </c>
      <c r="S66" s="8"/>
      <c r="T66" s="8"/>
      <c r="U66" s="8"/>
      <c r="V66" s="8"/>
      <c r="W66" s="8"/>
      <c r="X66" s="8"/>
      <c r="Y66" s="8"/>
      <c r="Z66" s="8"/>
      <c r="AA66" s="113"/>
      <c r="AB66" s="7">
        <f>ROUND(AA66,2)</f>
        <v>0</v>
      </c>
      <c r="AC66" s="109"/>
      <c r="AD66" s="104"/>
      <c r="AE66" s="104"/>
      <c r="AF66" s="145"/>
      <c r="AG66" s="104"/>
      <c r="AH66" s="104"/>
    </row>
    <row r="67" spans="1:34" s="6" customFormat="1" ht="36">
      <c r="A67" s="3" t="s">
        <v>228</v>
      </c>
      <c r="B67" s="2" t="s">
        <v>180</v>
      </c>
      <c r="C67" s="178"/>
      <c r="D67" s="1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13"/>
      <c r="AB67" s="7"/>
      <c r="AC67" s="109"/>
      <c r="AD67" s="104"/>
      <c r="AE67" s="104"/>
      <c r="AF67" s="145"/>
      <c r="AG67" s="104"/>
      <c r="AH67" s="104"/>
    </row>
    <row r="68" spans="1:34" s="6" customFormat="1" ht="24">
      <c r="A68" s="3" t="s">
        <v>229</v>
      </c>
      <c r="B68" s="2" t="s">
        <v>171</v>
      </c>
      <c r="C68" s="178"/>
      <c r="D68" s="1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f>R$139</f>
        <v>6552</v>
      </c>
      <c r="S68" s="8"/>
      <c r="T68" s="8"/>
      <c r="U68" s="8"/>
      <c r="V68" s="8"/>
      <c r="W68" s="8"/>
      <c r="X68" s="8"/>
      <c r="Y68" s="8"/>
      <c r="Z68" s="8"/>
      <c r="AA68" s="113"/>
      <c r="AB68" s="7">
        <f>ROUND(AA68,2)</f>
        <v>0</v>
      </c>
      <c r="AC68" s="109"/>
      <c r="AD68" s="104"/>
      <c r="AE68" s="104"/>
      <c r="AF68" s="145"/>
      <c r="AG68" s="104"/>
      <c r="AH68" s="104"/>
    </row>
    <row r="69" spans="1:34" s="75" customFormat="1" ht="12">
      <c r="A69" s="13" t="s">
        <v>34</v>
      </c>
      <c r="B69" s="20" t="s">
        <v>148</v>
      </c>
      <c r="C69" s="178" t="s">
        <v>142</v>
      </c>
      <c r="D69" s="59" t="s">
        <v>0</v>
      </c>
      <c r="E69" s="12"/>
      <c r="F69" s="12"/>
      <c r="G69" s="55"/>
      <c r="H69" s="55"/>
      <c r="I69" s="55"/>
      <c r="J69" s="55"/>
      <c r="K69" s="55"/>
      <c r="L69" s="55"/>
      <c r="M69" s="55">
        <f>375*54/0.4/0.5</f>
        <v>101250</v>
      </c>
      <c r="N69" s="55"/>
      <c r="O69" s="55"/>
      <c r="P69" s="55"/>
      <c r="Q69" s="73">
        <f>1/M69</f>
        <v>9.8765432098765433E-6</v>
      </c>
      <c r="R69" s="55">
        <f>R$139</f>
        <v>6552</v>
      </c>
      <c r="S69" s="55">
        <v>4</v>
      </c>
      <c r="T69" s="55">
        <v>1.36</v>
      </c>
      <c r="U69" s="74">
        <v>0.7</v>
      </c>
      <c r="V69" s="55">
        <f>R69*T69*(1+U69)*2.6</f>
        <v>39385.38240000001</v>
      </c>
      <c r="W69" s="74">
        <v>0.3</v>
      </c>
      <c r="X69" s="74">
        <v>1</v>
      </c>
      <c r="Y69" s="74">
        <v>0.1</v>
      </c>
      <c r="Z69" s="74"/>
      <c r="AA69" s="12">
        <f>Q69*V69*(1+W69+X69)*(1+Y69)*(1+Z69)</f>
        <v>0.98414832071111136</v>
      </c>
      <c r="AB69" s="12">
        <f>ROUND(AA69,2)</f>
        <v>0.98</v>
      </c>
      <c r="AC69" s="108">
        <f>AE69*12</f>
        <v>0</v>
      </c>
      <c r="AD69" s="105">
        <f>IF(AE31=1,$AB69,0)</f>
        <v>0</v>
      </c>
      <c r="AE69" s="111">
        <f>AD69*AD$6</f>
        <v>0</v>
      </c>
      <c r="AF69" s="108">
        <f>AH69*12</f>
        <v>6170.4719999999998</v>
      </c>
      <c r="AG69" s="105">
        <f>IF(AH31=1,$AB69,0)</f>
        <v>0.98</v>
      </c>
      <c r="AH69" s="111">
        <f>AG69*AG$6</f>
        <v>514.20600000000002</v>
      </c>
    </row>
    <row r="70" spans="1:34" s="75" customFormat="1" ht="36">
      <c r="A70" s="3" t="s">
        <v>242</v>
      </c>
      <c r="B70" s="2" t="s">
        <v>175</v>
      </c>
      <c r="C70" s="178"/>
      <c r="D70" s="59"/>
      <c r="E70" s="12"/>
      <c r="F70" s="12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73"/>
      <c r="R70" s="55"/>
      <c r="S70" s="55"/>
      <c r="T70" s="55"/>
      <c r="U70" s="74"/>
      <c r="V70" s="55"/>
      <c r="W70" s="74"/>
      <c r="X70" s="74"/>
      <c r="Y70" s="74"/>
      <c r="Z70" s="74"/>
      <c r="AA70" s="12"/>
      <c r="AB70" s="12"/>
      <c r="AC70" s="108"/>
      <c r="AD70" s="105"/>
      <c r="AE70" s="111"/>
      <c r="AF70" s="108"/>
      <c r="AG70" s="105"/>
      <c r="AH70" s="111"/>
    </row>
    <row r="71" spans="1:34" s="75" customFormat="1" ht="24">
      <c r="A71" s="3" t="s">
        <v>243</v>
      </c>
      <c r="B71" s="2" t="s">
        <v>170</v>
      </c>
      <c r="C71" s="178"/>
      <c r="D71" s="59"/>
      <c r="E71" s="12"/>
      <c r="F71" s="12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73"/>
      <c r="R71" s="55"/>
      <c r="S71" s="55"/>
      <c r="T71" s="55"/>
      <c r="U71" s="74"/>
      <c r="V71" s="55"/>
      <c r="W71" s="74"/>
      <c r="X71" s="74"/>
      <c r="Y71" s="74"/>
      <c r="Z71" s="74"/>
      <c r="AA71" s="12"/>
      <c r="AB71" s="12"/>
      <c r="AC71" s="108"/>
      <c r="AD71" s="105"/>
      <c r="AE71" s="111"/>
      <c r="AF71" s="108"/>
      <c r="AG71" s="105"/>
      <c r="AH71" s="111"/>
    </row>
    <row r="72" spans="1:34" s="75" customFormat="1" ht="15" customHeight="1">
      <c r="A72" s="13" t="s">
        <v>207</v>
      </c>
      <c r="B72" s="20" t="s">
        <v>143</v>
      </c>
      <c r="C72" s="178" t="s">
        <v>136</v>
      </c>
      <c r="D72" s="54"/>
      <c r="E72" s="12"/>
      <c r="F72" s="12"/>
      <c r="G72" s="55"/>
      <c r="H72" s="55"/>
      <c r="I72" s="55"/>
      <c r="J72" s="55"/>
      <c r="K72" s="55"/>
      <c r="L72" s="55"/>
      <c r="M72" s="55">
        <f>375*54/0.4/0.5</f>
        <v>101250</v>
      </c>
      <c r="N72" s="55"/>
      <c r="O72" s="55"/>
      <c r="P72" s="55"/>
      <c r="Q72" s="73">
        <f>1/M72</f>
        <v>9.8765432098765433E-6</v>
      </c>
      <c r="R72" s="55">
        <f>R$139</f>
        <v>6552</v>
      </c>
      <c r="S72" s="55">
        <v>4</v>
      </c>
      <c r="T72" s="55">
        <v>1.36</v>
      </c>
      <c r="U72" s="74">
        <v>0.4</v>
      </c>
      <c r="V72" s="55">
        <f>R72*T72*(1+U72)*2.6</f>
        <v>32435.020800000006</v>
      </c>
      <c r="W72" s="74">
        <v>0.3</v>
      </c>
      <c r="X72" s="74">
        <v>0.1</v>
      </c>
      <c r="Y72" s="74">
        <v>0.1</v>
      </c>
      <c r="Z72" s="74"/>
      <c r="AA72" s="12">
        <f>Q72*V72*(1+W72+X72)*(1+Y72)*(1+Z72)</f>
        <v>0.49333266204444459</v>
      </c>
      <c r="AB72" s="12">
        <f>ROUND(AA72,2)</f>
        <v>0.49</v>
      </c>
      <c r="AC72" s="108">
        <f>AE72*12</f>
        <v>0</v>
      </c>
      <c r="AD72" s="105">
        <f>IF(AE32=1,$AB72,0)</f>
        <v>0</v>
      </c>
      <c r="AE72" s="111">
        <f>AD72*AD$6</f>
        <v>0</v>
      </c>
      <c r="AF72" s="108">
        <f>AH72*12</f>
        <v>3085.2359999999999</v>
      </c>
      <c r="AG72" s="105">
        <f>IF(AH32=1,$AB72,0)</f>
        <v>0.49</v>
      </c>
      <c r="AH72" s="111">
        <f>AG72*AG$6</f>
        <v>257.10300000000001</v>
      </c>
    </row>
    <row r="73" spans="1:34" s="6" customFormat="1" ht="36">
      <c r="A73" s="3" t="s">
        <v>244</v>
      </c>
      <c r="B73" s="2" t="s">
        <v>178</v>
      </c>
      <c r="C73" s="178"/>
      <c r="D73" s="11" t="s"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8"/>
      <c r="R73" s="8">
        <f>R$139</f>
        <v>6552</v>
      </c>
      <c r="S73" s="8"/>
      <c r="T73" s="8"/>
      <c r="U73" s="8"/>
      <c r="V73" s="8"/>
      <c r="W73" s="8"/>
      <c r="X73" s="8"/>
      <c r="Y73" s="8"/>
      <c r="Z73" s="8"/>
      <c r="AA73" s="113"/>
      <c r="AB73" s="7">
        <f>ROUND(AA73,2)</f>
        <v>0</v>
      </c>
      <c r="AC73" s="109"/>
      <c r="AD73" s="104"/>
      <c r="AE73" s="104"/>
      <c r="AF73" s="145"/>
      <c r="AG73" s="104"/>
      <c r="AH73" s="104"/>
    </row>
    <row r="74" spans="1:34" s="6" customFormat="1" ht="36">
      <c r="A74" s="3" t="s">
        <v>245</v>
      </c>
      <c r="B74" s="2" t="s">
        <v>181</v>
      </c>
      <c r="C74" s="178"/>
      <c r="D74" s="11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8"/>
      <c r="R74" s="8"/>
      <c r="S74" s="8"/>
      <c r="T74" s="8"/>
      <c r="U74" s="8"/>
      <c r="V74" s="8"/>
      <c r="W74" s="8"/>
      <c r="X74" s="8"/>
      <c r="Y74" s="8"/>
      <c r="Z74" s="8"/>
      <c r="AA74" s="113"/>
      <c r="AB74" s="7"/>
      <c r="AC74" s="109"/>
      <c r="AD74" s="104"/>
      <c r="AE74" s="104"/>
      <c r="AF74" s="145"/>
      <c r="AG74" s="104"/>
      <c r="AH74" s="104"/>
    </row>
    <row r="75" spans="1:34" s="6" customFormat="1" ht="24.75" customHeight="1">
      <c r="A75" s="3" t="s">
        <v>246</v>
      </c>
      <c r="B75" s="2" t="s">
        <v>172</v>
      </c>
      <c r="C75" s="178"/>
      <c r="D75" s="11" t="s"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8"/>
      <c r="R75" s="8">
        <f>R$139</f>
        <v>6552</v>
      </c>
      <c r="S75" s="8"/>
      <c r="T75" s="8"/>
      <c r="U75" s="8"/>
      <c r="V75" s="8"/>
      <c r="W75" s="8"/>
      <c r="X75" s="8"/>
      <c r="Y75" s="8"/>
      <c r="Z75" s="8"/>
      <c r="AA75" s="113"/>
      <c r="AB75" s="7">
        <f>ROUND(AA75,2)</f>
        <v>0</v>
      </c>
      <c r="AC75" s="109"/>
      <c r="AD75" s="104"/>
      <c r="AE75" s="104"/>
      <c r="AF75" s="145"/>
      <c r="AG75" s="104"/>
      <c r="AH75" s="104"/>
    </row>
    <row r="76" spans="1:34" s="6" customFormat="1" ht="12">
      <c r="A76" s="13" t="s">
        <v>27</v>
      </c>
      <c r="B76" s="20" t="s">
        <v>173</v>
      </c>
      <c r="C76" s="178" t="s">
        <v>142</v>
      </c>
      <c r="D76" s="11" t="s">
        <v>0</v>
      </c>
      <c r="E76" s="12"/>
      <c r="F76" s="12"/>
      <c r="G76" s="8"/>
      <c r="H76" s="8"/>
      <c r="I76" s="8"/>
      <c r="J76" s="8"/>
      <c r="K76" s="8"/>
      <c r="L76" s="8"/>
      <c r="M76" s="55">
        <f>375*54/0.4/0.5</f>
        <v>101250</v>
      </c>
      <c r="N76" s="8"/>
      <c r="O76" s="8"/>
      <c r="P76" s="8"/>
      <c r="Q76" s="18">
        <f>1/M76</f>
        <v>9.8765432098765433E-6</v>
      </c>
      <c r="R76" s="8">
        <f>R$139</f>
        <v>6552</v>
      </c>
      <c r="S76" s="8">
        <v>4</v>
      </c>
      <c r="T76" s="8">
        <v>1.36</v>
      </c>
      <c r="U76" s="15">
        <v>0.7</v>
      </c>
      <c r="V76" s="8">
        <f>R76*T76*(1+U76)*2.6</f>
        <v>39385.38240000001</v>
      </c>
      <c r="W76" s="15">
        <v>0.3</v>
      </c>
      <c r="X76" s="15">
        <v>1</v>
      </c>
      <c r="Y76" s="15">
        <v>0.1</v>
      </c>
      <c r="Z76" s="15"/>
      <c r="AA76" s="7">
        <f>Q76*V76*(1+W76+X76)*(1+Y76)*(1+Z76)</f>
        <v>0.98414832071111136</v>
      </c>
      <c r="AB76" s="7">
        <f>ROUND(AA76,2)</f>
        <v>0.98</v>
      </c>
      <c r="AC76" s="109">
        <f>AE76*12</f>
        <v>0</v>
      </c>
      <c r="AD76" s="104">
        <f>IF(AE32=1,$AB76,0)</f>
        <v>0</v>
      </c>
      <c r="AE76" s="106">
        <f>AD76*AD$6</f>
        <v>0</v>
      </c>
      <c r="AF76" s="145">
        <f>AH76*12</f>
        <v>6170.4719999999998</v>
      </c>
      <c r="AG76" s="104">
        <f>IF(AH32=1,$AB76,0)</f>
        <v>0.98</v>
      </c>
      <c r="AH76" s="106">
        <f>AG76*AG$6</f>
        <v>514.20600000000002</v>
      </c>
    </row>
    <row r="77" spans="1:34" s="6" customFormat="1" ht="36">
      <c r="A77" s="3" t="s">
        <v>247</v>
      </c>
      <c r="B77" s="2" t="s">
        <v>175</v>
      </c>
      <c r="C77" s="178"/>
      <c r="D77" s="11"/>
      <c r="E77" s="12"/>
      <c r="F77" s="12"/>
      <c r="G77" s="8"/>
      <c r="H77" s="8"/>
      <c r="I77" s="8"/>
      <c r="J77" s="8"/>
      <c r="K77" s="8"/>
      <c r="L77" s="8"/>
      <c r="M77" s="55"/>
      <c r="N77" s="8"/>
      <c r="O77" s="8"/>
      <c r="P77" s="8"/>
      <c r="Q77" s="18"/>
      <c r="R77" s="8"/>
      <c r="S77" s="8"/>
      <c r="T77" s="8"/>
      <c r="U77" s="15"/>
      <c r="V77" s="8"/>
      <c r="W77" s="15"/>
      <c r="X77" s="15"/>
      <c r="Y77" s="15"/>
      <c r="Z77" s="15"/>
      <c r="AA77" s="7"/>
      <c r="AB77" s="7"/>
      <c r="AC77" s="109"/>
      <c r="AD77" s="104"/>
      <c r="AE77" s="106"/>
      <c r="AF77" s="145"/>
      <c r="AG77" s="104"/>
      <c r="AH77" s="106"/>
    </row>
    <row r="78" spans="1:34" s="6" customFormat="1" ht="24">
      <c r="A78" s="3" t="s">
        <v>248</v>
      </c>
      <c r="B78" s="2" t="s">
        <v>170</v>
      </c>
      <c r="C78" s="178"/>
      <c r="D78" s="11"/>
      <c r="E78" s="12"/>
      <c r="F78" s="12"/>
      <c r="G78" s="8"/>
      <c r="H78" s="8"/>
      <c r="I78" s="8"/>
      <c r="J78" s="8"/>
      <c r="K78" s="8"/>
      <c r="L78" s="8"/>
      <c r="M78" s="55"/>
      <c r="N78" s="8"/>
      <c r="O78" s="8"/>
      <c r="P78" s="8"/>
      <c r="Q78" s="18"/>
      <c r="R78" s="8"/>
      <c r="S78" s="8"/>
      <c r="T78" s="8"/>
      <c r="U78" s="15"/>
      <c r="V78" s="8"/>
      <c r="W78" s="15"/>
      <c r="X78" s="15"/>
      <c r="Y78" s="15"/>
      <c r="Z78" s="15"/>
      <c r="AA78" s="7"/>
      <c r="AB78" s="7"/>
      <c r="AC78" s="109"/>
      <c r="AD78" s="104"/>
      <c r="AE78" s="106"/>
      <c r="AF78" s="145"/>
      <c r="AG78" s="104"/>
      <c r="AH78" s="106"/>
    </row>
    <row r="79" spans="1:34" s="75" customFormat="1" ht="15" customHeight="1">
      <c r="A79" s="13" t="s">
        <v>21</v>
      </c>
      <c r="B79" s="20" t="s">
        <v>183</v>
      </c>
      <c r="C79" s="178" t="s">
        <v>136</v>
      </c>
      <c r="D79" s="59" t="s">
        <v>0</v>
      </c>
      <c r="E79" s="12"/>
      <c r="F79" s="12"/>
      <c r="G79" s="55"/>
      <c r="H79" s="55"/>
      <c r="I79" s="55"/>
      <c r="J79" s="55"/>
      <c r="K79" s="55"/>
      <c r="L79" s="55"/>
      <c r="M79" s="55">
        <f>39000/0.5</f>
        <v>78000</v>
      </c>
      <c r="N79" s="55"/>
      <c r="O79" s="55"/>
      <c r="P79" s="55"/>
      <c r="Q79" s="73">
        <f>1/M79</f>
        <v>1.282051282051282E-5</v>
      </c>
      <c r="R79" s="55">
        <f>R$139</f>
        <v>6552</v>
      </c>
      <c r="S79" s="55">
        <v>4</v>
      </c>
      <c r="T79" s="55">
        <v>1.36</v>
      </c>
      <c r="U79" s="74">
        <v>0.4</v>
      </c>
      <c r="V79" s="55">
        <f>R79*T79*(1+U79)*2.6</f>
        <v>32435.020800000006</v>
      </c>
      <c r="W79" s="74">
        <v>0.3</v>
      </c>
      <c r="X79" s="74">
        <v>0.1</v>
      </c>
      <c r="Y79" s="74">
        <v>0.1</v>
      </c>
      <c r="Z79" s="74"/>
      <c r="AA79" s="12">
        <f>Q79*V79*(1+W79+X79)*(1+Y79)*(1+Z79)</f>
        <v>0.64038374400000009</v>
      </c>
      <c r="AB79" s="12">
        <f>ROUND(AA79,2)</f>
        <v>0.64</v>
      </c>
      <c r="AC79" s="108">
        <f>AE79*12</f>
        <v>3035.136</v>
      </c>
      <c r="AD79" s="105">
        <f>IF(AE30=1,$AB79,0)</f>
        <v>0.64</v>
      </c>
      <c r="AE79" s="111">
        <f>AD79*AD$6</f>
        <v>252.928</v>
      </c>
      <c r="AF79" s="108">
        <f>AH79*12</f>
        <v>4029.6960000000008</v>
      </c>
      <c r="AG79" s="105">
        <f>IF(AH30=1,$AB79,0)</f>
        <v>0.64</v>
      </c>
      <c r="AH79" s="111">
        <f>AG79*AG$6</f>
        <v>335.80800000000005</v>
      </c>
    </row>
    <row r="80" spans="1:34" s="6" customFormat="1" ht="48">
      <c r="A80" s="3" t="s">
        <v>249</v>
      </c>
      <c r="B80" s="2" t="s">
        <v>179</v>
      </c>
      <c r="C80" s="178"/>
      <c r="D80" s="11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8"/>
      <c r="R80" s="8">
        <f>R$139</f>
        <v>6552</v>
      </c>
      <c r="S80" s="8"/>
      <c r="T80" s="8"/>
      <c r="U80" s="8"/>
      <c r="V80" s="8"/>
      <c r="W80" s="8"/>
      <c r="X80" s="8"/>
      <c r="Y80" s="8"/>
      <c r="Z80" s="8"/>
      <c r="AA80" s="113"/>
      <c r="AB80" s="7">
        <f>ROUND(AA80,2)</f>
        <v>0</v>
      </c>
      <c r="AC80" s="109"/>
      <c r="AD80" s="104"/>
      <c r="AE80" s="104"/>
      <c r="AF80" s="145"/>
      <c r="AG80" s="104"/>
      <c r="AH80" s="104"/>
    </row>
    <row r="81" spans="1:123" s="6" customFormat="1" ht="36">
      <c r="A81" s="3" t="s">
        <v>250</v>
      </c>
      <c r="B81" s="2" t="s">
        <v>182</v>
      </c>
      <c r="C81" s="178"/>
      <c r="D81" s="11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8"/>
      <c r="S81" s="8"/>
      <c r="T81" s="8"/>
      <c r="U81" s="8"/>
      <c r="V81" s="8"/>
      <c r="W81" s="8"/>
      <c r="X81" s="8"/>
      <c r="Y81" s="8"/>
      <c r="Z81" s="8"/>
      <c r="AA81" s="113"/>
      <c r="AB81" s="7"/>
      <c r="AC81" s="109"/>
      <c r="AD81" s="104"/>
      <c r="AE81" s="104"/>
      <c r="AF81" s="145"/>
      <c r="AG81" s="104"/>
      <c r="AH81" s="104"/>
    </row>
    <row r="82" spans="1:123" s="6" customFormat="1" ht="44.25" customHeight="1">
      <c r="A82" s="3" t="s">
        <v>251</v>
      </c>
      <c r="B82" s="2" t="s">
        <v>184</v>
      </c>
      <c r="C82" s="178"/>
      <c r="D82" s="1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8"/>
      <c r="R82" s="8">
        <f>R$139</f>
        <v>6552</v>
      </c>
      <c r="S82" s="8"/>
      <c r="T82" s="8"/>
      <c r="U82" s="8"/>
      <c r="V82" s="8"/>
      <c r="W82" s="8"/>
      <c r="X82" s="8"/>
      <c r="Y82" s="8"/>
      <c r="Z82" s="8"/>
      <c r="AA82" s="113"/>
      <c r="AB82" s="7">
        <f>ROUND(AA82,2)</f>
        <v>0</v>
      </c>
      <c r="AC82" s="109"/>
      <c r="AD82" s="114"/>
      <c r="AE82" s="104"/>
      <c r="AF82" s="145"/>
      <c r="AG82" s="114"/>
      <c r="AH82" s="104"/>
    </row>
    <row r="83" spans="1:123" s="6" customFormat="1" ht="12.75" customHeight="1">
      <c r="A83" s="3" t="s">
        <v>252</v>
      </c>
      <c r="B83" s="2" t="s">
        <v>185</v>
      </c>
      <c r="C83" s="178"/>
      <c r="D83" s="1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  <c r="R83" s="8"/>
      <c r="S83" s="8"/>
      <c r="T83" s="8"/>
      <c r="U83" s="8"/>
      <c r="V83" s="8"/>
      <c r="W83" s="8"/>
      <c r="X83" s="8"/>
      <c r="Y83" s="8"/>
      <c r="Z83" s="8"/>
      <c r="AA83" s="113"/>
      <c r="AB83" s="7"/>
      <c r="AC83" s="109"/>
      <c r="AD83" s="114"/>
      <c r="AE83" s="104"/>
      <c r="AF83" s="145"/>
      <c r="AG83" s="114"/>
      <c r="AH83" s="104"/>
    </row>
    <row r="84" spans="1:123" s="6" customFormat="1" ht="24">
      <c r="A84" s="3" t="s">
        <v>253</v>
      </c>
      <c r="B84" s="2" t="s">
        <v>186</v>
      </c>
      <c r="C84" s="178"/>
      <c r="D84" s="11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8"/>
      <c r="R84" s="8"/>
      <c r="S84" s="8"/>
      <c r="T84" s="8"/>
      <c r="U84" s="8"/>
      <c r="V84" s="8"/>
      <c r="W84" s="8"/>
      <c r="X84" s="8"/>
      <c r="Y84" s="8"/>
      <c r="Z84" s="8"/>
      <c r="AA84" s="113"/>
      <c r="AB84" s="7"/>
      <c r="AC84" s="109"/>
      <c r="AD84" s="114"/>
      <c r="AE84" s="104"/>
      <c r="AF84" s="145"/>
      <c r="AG84" s="114"/>
      <c r="AH84" s="104"/>
    </row>
    <row r="85" spans="1:123" s="6" customFormat="1" ht="12">
      <c r="A85" s="13" t="s">
        <v>19</v>
      </c>
      <c r="B85" s="20" t="s">
        <v>174</v>
      </c>
      <c r="C85" s="178" t="s">
        <v>142</v>
      </c>
      <c r="D85" s="11" t="s">
        <v>0</v>
      </c>
      <c r="E85" s="12"/>
      <c r="F85" s="12"/>
      <c r="G85" s="8"/>
      <c r="H85" s="8"/>
      <c r="I85" s="8"/>
      <c r="J85" s="8"/>
      <c r="K85" s="8"/>
      <c r="L85" s="8"/>
      <c r="M85" s="55">
        <f>39000/0.5</f>
        <v>78000</v>
      </c>
      <c r="N85" s="8"/>
      <c r="O85" s="8"/>
      <c r="P85" s="8"/>
      <c r="Q85" s="18">
        <f>1/M85</f>
        <v>1.282051282051282E-5</v>
      </c>
      <c r="R85" s="8">
        <f>R$139</f>
        <v>6552</v>
      </c>
      <c r="S85" s="8">
        <v>4</v>
      </c>
      <c r="T85" s="8">
        <v>1.36</v>
      </c>
      <c r="U85" s="15">
        <v>0.7</v>
      </c>
      <c r="V85" s="8">
        <f>R85*T85*(1+U85)*2.6</f>
        <v>39385.38240000001</v>
      </c>
      <c r="W85" s="15">
        <v>0.3</v>
      </c>
      <c r="X85" s="15">
        <v>1</v>
      </c>
      <c r="Y85" s="15">
        <v>0.1</v>
      </c>
      <c r="Z85" s="15"/>
      <c r="AA85" s="7">
        <f>Q85*V85*(1+W85+X85)*(1+Y85)*(1+Z85)</f>
        <v>1.2775002240000002</v>
      </c>
      <c r="AB85" s="7">
        <f>ROUND(AA85,2)</f>
        <v>1.28</v>
      </c>
      <c r="AC85" s="109">
        <f>AE85*12</f>
        <v>6070.2719999999999</v>
      </c>
      <c r="AD85" s="104">
        <f>IF(AE30=1,$AB85,0)</f>
        <v>1.28</v>
      </c>
      <c r="AE85" s="106">
        <f>AD85*AD$6</f>
        <v>505.85599999999999</v>
      </c>
      <c r="AF85" s="145">
        <f>AH85*12</f>
        <v>8059.3920000000016</v>
      </c>
      <c r="AG85" s="104">
        <f>IF(AH30=1,$AB85,0)</f>
        <v>1.28</v>
      </c>
      <c r="AH85" s="106">
        <f>AG85*AG$6</f>
        <v>671.6160000000001</v>
      </c>
    </row>
    <row r="86" spans="1:123" s="6" customFormat="1" ht="36">
      <c r="A86" s="3" t="s">
        <v>254</v>
      </c>
      <c r="B86" s="2" t="s">
        <v>176</v>
      </c>
      <c r="C86" s="178"/>
      <c r="D86" s="11"/>
      <c r="E86" s="12"/>
      <c r="F86" s="12"/>
      <c r="G86" s="8"/>
      <c r="H86" s="8"/>
      <c r="I86" s="8"/>
      <c r="J86" s="8"/>
      <c r="K86" s="8"/>
      <c r="L86" s="8"/>
      <c r="M86" s="55"/>
      <c r="N86" s="8"/>
      <c r="O86" s="8"/>
      <c r="P86" s="8"/>
      <c r="Q86" s="18"/>
      <c r="R86" s="8"/>
      <c r="S86" s="8"/>
      <c r="T86" s="8"/>
      <c r="U86" s="15"/>
      <c r="V86" s="8"/>
      <c r="W86" s="15"/>
      <c r="X86" s="15"/>
      <c r="Y86" s="15"/>
      <c r="Z86" s="15"/>
      <c r="AA86" s="7"/>
      <c r="AB86" s="7"/>
      <c r="AC86" s="109"/>
      <c r="AD86" s="104"/>
      <c r="AE86" s="106"/>
      <c r="AF86" s="145"/>
      <c r="AG86" s="104"/>
      <c r="AH86" s="106"/>
    </row>
    <row r="87" spans="1:123" s="6" customFormat="1" ht="24">
      <c r="A87" s="3" t="s">
        <v>255</v>
      </c>
      <c r="B87" s="2" t="s">
        <v>170</v>
      </c>
      <c r="C87" s="178"/>
      <c r="D87" s="11"/>
      <c r="E87" s="12"/>
      <c r="F87" s="12"/>
      <c r="G87" s="8"/>
      <c r="H87" s="8"/>
      <c r="I87" s="8"/>
      <c r="J87" s="8"/>
      <c r="K87" s="8"/>
      <c r="L87" s="8"/>
      <c r="M87" s="55"/>
      <c r="N87" s="8"/>
      <c r="O87" s="8"/>
      <c r="P87" s="8"/>
      <c r="Q87" s="18"/>
      <c r="R87" s="8"/>
      <c r="S87" s="8"/>
      <c r="T87" s="8"/>
      <c r="U87" s="15"/>
      <c r="V87" s="8"/>
      <c r="W87" s="15"/>
      <c r="X87" s="15"/>
      <c r="Y87" s="15"/>
      <c r="Z87" s="15"/>
      <c r="AA87" s="7"/>
      <c r="AB87" s="7"/>
      <c r="AC87" s="109"/>
      <c r="AD87" s="104"/>
      <c r="AE87" s="106"/>
      <c r="AF87" s="145"/>
      <c r="AG87" s="104"/>
      <c r="AH87" s="106"/>
    </row>
    <row r="88" spans="1:123" s="75" customFormat="1" ht="15" customHeight="1">
      <c r="A88" s="13" t="s">
        <v>18</v>
      </c>
      <c r="B88" s="20" t="s">
        <v>144</v>
      </c>
      <c r="C88" s="7"/>
      <c r="D88" s="54"/>
      <c r="E88" s="12"/>
      <c r="F88" s="12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73"/>
      <c r="R88" s="55">
        <f>R$139</f>
        <v>6552</v>
      </c>
      <c r="S88" s="55"/>
      <c r="T88" s="55"/>
      <c r="U88" s="55"/>
      <c r="V88" s="55"/>
      <c r="W88" s="55"/>
      <c r="X88" s="55"/>
      <c r="Y88" s="55"/>
      <c r="Z88" s="55"/>
      <c r="AA88" s="12"/>
      <c r="AB88" s="12">
        <f>ROUND(AA88,2)</f>
        <v>0</v>
      </c>
      <c r="AC88" s="108">
        <f t="shared" ref="AC88:AC94" si="6">AE88*12</f>
        <v>58777.200000000004</v>
      </c>
      <c r="AD88" s="105">
        <f t="shared" ref="AD88:AE88" si="7">SUM(AD89:AD90)</f>
        <v>12.393977732793523</v>
      </c>
      <c r="AE88" s="105">
        <f t="shared" si="7"/>
        <v>4898.1000000000004</v>
      </c>
      <c r="AF88" s="108">
        <f t="shared" ref="AF88:AF94" si="8">AH88*12</f>
        <v>1574.1000000000001</v>
      </c>
      <c r="AG88" s="105">
        <f t="shared" ref="AG88:AH88" si="9">SUM(AG89:AG90)</f>
        <v>0.25</v>
      </c>
      <c r="AH88" s="105">
        <f t="shared" si="9"/>
        <v>131.17500000000001</v>
      </c>
    </row>
    <row r="89" spans="1:123" s="6" customFormat="1" ht="12">
      <c r="A89" s="3" t="s">
        <v>208</v>
      </c>
      <c r="B89" s="2" t="s">
        <v>189</v>
      </c>
      <c r="C89" s="7" t="s">
        <v>136</v>
      </c>
      <c r="D89" s="11" t="s">
        <v>0</v>
      </c>
      <c r="E89" s="8"/>
      <c r="F89" s="8"/>
      <c r="G89" s="8"/>
      <c r="H89" s="8"/>
      <c r="I89" s="8"/>
      <c r="J89" s="8"/>
      <c r="K89" s="8"/>
      <c r="L89" s="8"/>
      <c r="M89" s="55">
        <f>375*54/0.2/0.5</f>
        <v>202500</v>
      </c>
      <c r="N89" s="8"/>
      <c r="O89" s="8"/>
      <c r="P89" s="8"/>
      <c r="Q89" s="18">
        <f>1/M89</f>
        <v>4.9382716049382717E-6</v>
      </c>
      <c r="R89" s="8">
        <f>R$139</f>
        <v>6552</v>
      </c>
      <c r="S89" s="8">
        <v>4</v>
      </c>
      <c r="T89" s="8">
        <v>1.36</v>
      </c>
      <c r="U89" s="15">
        <v>0.4</v>
      </c>
      <c r="V89" s="8">
        <f>R89*T89*(1+U89)*2.6</f>
        <v>32435.020800000006</v>
      </c>
      <c r="W89" s="15">
        <v>0.3</v>
      </c>
      <c r="X89" s="15">
        <v>0.1</v>
      </c>
      <c r="Y89" s="15">
        <v>0.1</v>
      </c>
      <c r="Z89" s="15"/>
      <c r="AA89" s="7">
        <f>Q89*V89*(1+W89+X89)*(1+Y89)*(1+Z89)</f>
        <v>0.2466663310222223</v>
      </c>
      <c r="AB89" s="7">
        <f>ROUND(AA89,2)</f>
        <v>0.25</v>
      </c>
      <c r="AC89" s="109">
        <f t="shared" si="6"/>
        <v>0</v>
      </c>
      <c r="AD89" s="104">
        <f>IF(AE33=1,$AB89,0)</f>
        <v>0</v>
      </c>
      <c r="AE89" s="115">
        <f>AD89*AD$6</f>
        <v>0</v>
      </c>
      <c r="AF89" s="145">
        <f t="shared" si="8"/>
        <v>1574.1000000000001</v>
      </c>
      <c r="AG89" s="104">
        <f>IF(AH30=3,0,$AB89)</f>
        <v>0.25</v>
      </c>
      <c r="AH89" s="115">
        <f>AG89*AG$6</f>
        <v>131.17500000000001</v>
      </c>
      <c r="AI89" s="75"/>
      <c r="AJ89" s="75"/>
    </row>
    <row r="90" spans="1:123" s="6" customFormat="1" ht="12" customHeight="1">
      <c r="A90" s="3" t="s">
        <v>209</v>
      </c>
      <c r="B90" s="2" t="s">
        <v>12</v>
      </c>
      <c r="C90" s="7" t="s">
        <v>8</v>
      </c>
      <c r="D90" s="11" t="s">
        <v>11</v>
      </c>
      <c r="E90" s="8"/>
      <c r="F90" s="8"/>
      <c r="G90" s="8"/>
      <c r="H90" s="8">
        <v>1</v>
      </c>
      <c r="I90" s="8">
        <v>1</v>
      </c>
      <c r="J90" s="10">
        <v>1</v>
      </c>
      <c r="K90" s="10">
        <f>H90*I90*J90</f>
        <v>1</v>
      </c>
      <c r="L90" s="8"/>
      <c r="M90" s="8"/>
      <c r="N90" s="8">
        <v>16327</v>
      </c>
      <c r="O90" s="9">
        <f>N90*K90/12</f>
        <v>1360.5833333333333</v>
      </c>
      <c r="P90" s="8"/>
      <c r="Q90" s="18"/>
      <c r="R90" s="8">
        <f>R$139</f>
        <v>6552</v>
      </c>
      <c r="S90" s="8"/>
      <c r="T90" s="8"/>
      <c r="U90" s="8"/>
      <c r="V90" s="8"/>
      <c r="W90" s="8"/>
      <c r="X90" s="8"/>
      <c r="Y90" s="8"/>
      <c r="Z90" s="8"/>
      <c r="AA90" s="7"/>
      <c r="AB90" s="7">
        <f>O90</f>
        <v>1360.5833333333333</v>
      </c>
      <c r="AC90" s="109">
        <f t="shared" si="6"/>
        <v>58777.200000000004</v>
      </c>
      <c r="AD90" s="104">
        <f>AE90/AD6</f>
        <v>12.393977732793523</v>
      </c>
      <c r="AE90" s="115">
        <f>IF(AE33=4,$AB90/10*AD27,0)</f>
        <v>4898.1000000000004</v>
      </c>
      <c r="AF90" s="145">
        <f t="shared" si="8"/>
        <v>0</v>
      </c>
      <c r="AG90" s="104">
        <f>AH90/AG6</f>
        <v>0</v>
      </c>
      <c r="AH90" s="115">
        <f>IF(AH33=4,$AB90/10*AG27,0)</f>
        <v>0</v>
      </c>
    </row>
    <row r="91" spans="1:123" s="75" customFormat="1" ht="12" customHeight="1">
      <c r="A91" s="13" t="s">
        <v>17</v>
      </c>
      <c r="B91" s="20" t="s">
        <v>187</v>
      </c>
      <c r="C91" s="178" t="s">
        <v>142</v>
      </c>
      <c r="D91" s="59"/>
      <c r="E91" s="12"/>
      <c r="F91" s="12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73"/>
      <c r="R91" s="55">
        <f>R$139</f>
        <v>6552</v>
      </c>
      <c r="S91" s="55">
        <v>4</v>
      </c>
      <c r="T91" s="55">
        <v>1.36</v>
      </c>
      <c r="U91" s="74">
        <v>0.7</v>
      </c>
      <c r="V91" s="55">
        <f>R91*T91*(1+U91)*2.6</f>
        <v>39385.38240000001</v>
      </c>
      <c r="W91" s="55"/>
      <c r="X91" s="74"/>
      <c r="Y91" s="55"/>
      <c r="Z91" s="55"/>
      <c r="AA91" s="12"/>
      <c r="AB91" s="12">
        <f t="shared" ref="AB91:AB97" si="10">ROUND(AA91,2)</f>
        <v>0</v>
      </c>
      <c r="AC91" s="108">
        <f t="shared" si="6"/>
        <v>513.84</v>
      </c>
      <c r="AD91" s="105">
        <f t="shared" ref="AD91:AE91" si="11">SUM(AD92:AD93)</f>
        <v>0.10835020242914981</v>
      </c>
      <c r="AE91" s="105">
        <f t="shared" si="11"/>
        <v>42.82</v>
      </c>
      <c r="AF91" s="108">
        <f t="shared" si="8"/>
        <v>4112.9160000000002</v>
      </c>
      <c r="AG91" s="105">
        <f t="shared" ref="AG91:AH91" si="12">SUM(AG92:AG93)</f>
        <v>0.65321707642462357</v>
      </c>
      <c r="AH91" s="105">
        <f t="shared" si="12"/>
        <v>342.74299999999999</v>
      </c>
      <c r="DS91" s="132">
        <f>SUM(AB91:DR91)</f>
        <v>5013.0805672788547</v>
      </c>
    </row>
    <row r="92" spans="1:123" s="6" customFormat="1" ht="12">
      <c r="A92" s="3" t="s">
        <v>16</v>
      </c>
      <c r="B92" s="2" t="s">
        <v>188</v>
      </c>
      <c r="C92" s="178"/>
      <c r="D92" s="11" t="s">
        <v>0</v>
      </c>
      <c r="E92" s="8"/>
      <c r="F92" s="8"/>
      <c r="G92" s="8"/>
      <c r="H92" s="8"/>
      <c r="I92" s="8"/>
      <c r="J92" s="8"/>
      <c r="K92" s="8"/>
      <c r="L92" s="8"/>
      <c r="M92" s="55">
        <f>375*54/0.2/0.5</f>
        <v>202500</v>
      </c>
      <c r="N92" s="8"/>
      <c r="O92" s="8"/>
      <c r="P92" s="8"/>
      <c r="Q92" s="18">
        <f>1/M92</f>
        <v>4.9382716049382717E-6</v>
      </c>
      <c r="R92" s="8">
        <f>R$139</f>
        <v>6552</v>
      </c>
      <c r="S92" s="8">
        <v>4</v>
      </c>
      <c r="T92" s="8">
        <v>1.36</v>
      </c>
      <c r="U92" s="15">
        <v>0.7</v>
      </c>
      <c r="V92" s="8">
        <f>R92*T92*(1+U92)*2.6</f>
        <v>39385.38240000001</v>
      </c>
      <c r="W92" s="15">
        <v>0.3</v>
      </c>
      <c r="X92" s="15">
        <v>1</v>
      </c>
      <c r="Y92" s="15">
        <v>0.1</v>
      </c>
      <c r="Z92" s="15"/>
      <c r="AA92" s="7">
        <f>Q92*V92*(1+W92+X92)*(1+Y92)*(1+Z92)</f>
        <v>0.49207416035555568</v>
      </c>
      <c r="AB92" s="7">
        <f t="shared" si="10"/>
        <v>0.49</v>
      </c>
      <c r="AC92" s="109">
        <f t="shared" si="6"/>
        <v>0</v>
      </c>
      <c r="AD92" s="104">
        <f>IF(AE33=2,$AB92,0)</f>
        <v>0</v>
      </c>
      <c r="AE92" s="104">
        <f>AD92*AD$6</f>
        <v>0</v>
      </c>
      <c r="AF92" s="145">
        <f t="shared" si="8"/>
        <v>3085.2359999999999</v>
      </c>
      <c r="AG92" s="104">
        <f>IF(AH33=2,0,$AB92)</f>
        <v>0.49</v>
      </c>
      <c r="AH92" s="104">
        <f>AG92*AG$6</f>
        <v>257.10300000000001</v>
      </c>
    </row>
    <row r="93" spans="1:123" s="6" customFormat="1" ht="12">
      <c r="A93" s="3" t="s">
        <v>15</v>
      </c>
      <c r="B93" s="2" t="s">
        <v>2</v>
      </c>
      <c r="C93" s="178"/>
      <c r="D93" s="11" t="s">
        <v>1</v>
      </c>
      <c r="E93" s="8">
        <f>60*0.86</f>
        <v>51.6</v>
      </c>
      <c r="F93" s="8">
        <v>1</v>
      </c>
      <c r="G93" s="8">
        <f>E93*F93</f>
        <v>51.6</v>
      </c>
      <c r="H93" s="8">
        <v>0.5</v>
      </c>
      <c r="I93" s="8">
        <v>1</v>
      </c>
      <c r="J93" s="10">
        <v>1</v>
      </c>
      <c r="K93" s="19">
        <f>H93*I93*J93</f>
        <v>0.5</v>
      </c>
      <c r="L93" s="9">
        <f>G93*K93/60</f>
        <v>0.43</v>
      </c>
      <c r="M93" s="8">
        <v>1</v>
      </c>
      <c r="N93" s="8">
        <v>1195</v>
      </c>
      <c r="O93" s="9">
        <f>L93*N93/12</f>
        <v>42.820833333333333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15"/>
      <c r="AA93" s="7">
        <f>O93*(1+Z93)</f>
        <v>42.820833333333333</v>
      </c>
      <c r="AB93" s="7">
        <f t="shared" si="10"/>
        <v>42.82</v>
      </c>
      <c r="AC93" s="109">
        <f t="shared" si="6"/>
        <v>513.84</v>
      </c>
      <c r="AD93" s="104">
        <f>AE93/AD$6</f>
        <v>0.10835020242914981</v>
      </c>
      <c r="AE93" s="104">
        <f>IF(AE33&gt;=2,$AB$93*AD$34,0)</f>
        <v>42.82</v>
      </c>
      <c r="AF93" s="145">
        <f t="shared" si="8"/>
        <v>1027.68</v>
      </c>
      <c r="AG93" s="104">
        <f>AH93/AG$6</f>
        <v>0.16321707642462358</v>
      </c>
      <c r="AH93" s="104">
        <f>IF(AH33&gt;=2,$AB$93*AG$34,0)</f>
        <v>85.64</v>
      </c>
    </row>
    <row r="94" spans="1:123" s="75" customFormat="1" ht="15" customHeight="1">
      <c r="A94" s="13" t="s">
        <v>210</v>
      </c>
      <c r="B94" s="20" t="s">
        <v>256</v>
      </c>
      <c r="C94" s="178" t="s">
        <v>10</v>
      </c>
      <c r="D94" s="59" t="s">
        <v>0</v>
      </c>
      <c r="E94" s="12"/>
      <c r="F94" s="12"/>
      <c r="G94" s="55"/>
      <c r="H94" s="55"/>
      <c r="I94" s="55"/>
      <c r="J94" s="55"/>
      <c r="K94" s="55"/>
      <c r="L94" s="55"/>
      <c r="M94" s="55">
        <f>2250*54/0.5</f>
        <v>243000</v>
      </c>
      <c r="N94" s="55"/>
      <c r="O94" s="55"/>
      <c r="P94" s="55"/>
      <c r="Q94" s="73">
        <f>1/M94</f>
        <v>4.11522633744856E-6</v>
      </c>
      <c r="R94" s="55">
        <f>R$139</f>
        <v>6552</v>
      </c>
      <c r="S94" s="55">
        <v>5</v>
      </c>
      <c r="T94" s="55">
        <v>1.51</v>
      </c>
      <c r="U94" s="74">
        <v>0.7</v>
      </c>
      <c r="V94" s="55">
        <f>R94*T94*(1+U94)*2.6</f>
        <v>43729.358400000005</v>
      </c>
      <c r="W94" s="74">
        <v>0.3</v>
      </c>
      <c r="X94" s="74">
        <v>0.3</v>
      </c>
      <c r="Y94" s="74">
        <v>0.1</v>
      </c>
      <c r="Z94" s="74"/>
      <c r="AA94" s="12">
        <f>Q94*V94*(1+W94+X94)*(1+Y94)*(1+Z94)</f>
        <v>0.3167229250370372</v>
      </c>
      <c r="AB94" s="12">
        <f t="shared" si="10"/>
        <v>0.32</v>
      </c>
      <c r="AC94" s="108">
        <f t="shared" si="6"/>
        <v>1517.568</v>
      </c>
      <c r="AD94" s="111">
        <f>$AB94</f>
        <v>0.32</v>
      </c>
      <c r="AE94" s="111">
        <f>AD94*AD$6</f>
        <v>126.464</v>
      </c>
      <c r="AF94" s="108">
        <f t="shared" si="8"/>
        <v>2014.8480000000004</v>
      </c>
      <c r="AG94" s="111">
        <f>$AB94</f>
        <v>0.32</v>
      </c>
      <c r="AH94" s="111">
        <f>AG94*AG$6</f>
        <v>167.90400000000002</v>
      </c>
    </row>
    <row r="95" spans="1:123" s="6" customFormat="1" ht="24">
      <c r="A95" s="3" t="s">
        <v>14</v>
      </c>
      <c r="B95" s="2" t="s">
        <v>190</v>
      </c>
      <c r="C95" s="178"/>
      <c r="D95" s="1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>
        <f>R$139</f>
        <v>6552</v>
      </c>
      <c r="S95" s="8"/>
      <c r="T95" s="8"/>
      <c r="U95" s="8"/>
      <c r="V95" s="8"/>
      <c r="W95" s="8"/>
      <c r="X95" s="8"/>
      <c r="Y95" s="8"/>
      <c r="Z95" s="8"/>
      <c r="AA95" s="7"/>
      <c r="AB95" s="7">
        <f t="shared" si="10"/>
        <v>0</v>
      </c>
      <c r="AC95" s="109"/>
      <c r="AD95" s="104"/>
      <c r="AE95" s="104"/>
      <c r="AF95" s="145"/>
      <c r="AG95" s="104"/>
      <c r="AH95" s="104"/>
    </row>
    <row r="96" spans="1:123" s="6" customFormat="1" ht="24">
      <c r="A96" s="3" t="s">
        <v>263</v>
      </c>
      <c r="B96" s="2" t="s">
        <v>20</v>
      </c>
      <c r="C96" s="178"/>
      <c r="D96" s="11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>
        <f>R$139</f>
        <v>6552</v>
      </c>
      <c r="S96" s="8"/>
      <c r="T96" s="8"/>
      <c r="U96" s="8"/>
      <c r="V96" s="8"/>
      <c r="W96" s="8"/>
      <c r="X96" s="8"/>
      <c r="Y96" s="8"/>
      <c r="Z96" s="8"/>
      <c r="AA96" s="7"/>
      <c r="AB96" s="7">
        <f t="shared" si="10"/>
        <v>0</v>
      </c>
      <c r="AC96" s="109"/>
      <c r="AD96" s="104"/>
      <c r="AE96" s="104"/>
      <c r="AF96" s="145"/>
      <c r="AG96" s="104"/>
      <c r="AH96" s="104"/>
    </row>
    <row r="97" spans="1:34" s="75" customFormat="1" ht="12">
      <c r="A97" s="13" t="s">
        <v>211</v>
      </c>
      <c r="B97" s="20" t="s">
        <v>147</v>
      </c>
      <c r="C97" s="177" t="s">
        <v>136</v>
      </c>
      <c r="D97" s="59" t="s">
        <v>0</v>
      </c>
      <c r="E97" s="12"/>
      <c r="F97" s="12"/>
      <c r="G97" s="55"/>
      <c r="H97" s="55"/>
      <c r="I97" s="55"/>
      <c r="J97" s="55"/>
      <c r="K97" s="55"/>
      <c r="L97" s="55"/>
      <c r="M97" s="55">
        <f>2250*54/0.5</f>
        <v>243000</v>
      </c>
      <c r="N97" s="55"/>
      <c r="O97" s="55"/>
      <c r="P97" s="55"/>
      <c r="Q97" s="73">
        <f>1/M97</f>
        <v>4.11522633744856E-6</v>
      </c>
      <c r="R97" s="55">
        <f>R$139</f>
        <v>6552</v>
      </c>
      <c r="S97" s="55">
        <v>5</v>
      </c>
      <c r="T97" s="55">
        <v>1.51</v>
      </c>
      <c r="U97" s="74">
        <v>0.7</v>
      </c>
      <c r="V97" s="55">
        <f>R97*T97*(1+U97)*2.6</f>
        <v>43729.358400000005</v>
      </c>
      <c r="W97" s="74">
        <v>0.3</v>
      </c>
      <c r="X97" s="74">
        <v>1</v>
      </c>
      <c r="Y97" s="74">
        <v>0.1</v>
      </c>
      <c r="Z97" s="74"/>
      <c r="AA97" s="12">
        <f>Q97*V97*(1+W97+X97)*(1+Y97)*(1+Z97)</f>
        <v>0.45528920474074086</v>
      </c>
      <c r="AB97" s="12">
        <f t="shared" si="10"/>
        <v>0.46</v>
      </c>
      <c r="AC97" s="108">
        <f>AE97*12</f>
        <v>2181.5039999999999</v>
      </c>
      <c r="AD97" s="105">
        <f>$AB97</f>
        <v>0.46</v>
      </c>
      <c r="AE97" s="105">
        <f>AD97*AD$6</f>
        <v>181.792</v>
      </c>
      <c r="AF97" s="108">
        <f>AH97*12</f>
        <v>2896.3440000000001</v>
      </c>
      <c r="AG97" s="105">
        <f>$AB97</f>
        <v>0.46</v>
      </c>
      <c r="AH97" s="105">
        <f>AG97*AG$6</f>
        <v>241.36200000000002</v>
      </c>
    </row>
    <row r="98" spans="1:34" s="6" customFormat="1" ht="12">
      <c r="A98" s="3" t="s">
        <v>13</v>
      </c>
      <c r="B98" s="2" t="s">
        <v>191</v>
      </c>
      <c r="C98" s="177"/>
      <c r="D98" s="11"/>
      <c r="E98" s="12"/>
      <c r="F98" s="12"/>
      <c r="G98" s="8"/>
      <c r="H98" s="8"/>
      <c r="I98" s="8"/>
      <c r="J98" s="8"/>
      <c r="K98" s="8"/>
      <c r="L98" s="8"/>
      <c r="M98" s="55"/>
      <c r="N98" s="8"/>
      <c r="O98" s="8"/>
      <c r="P98" s="8"/>
      <c r="Q98" s="18"/>
      <c r="R98" s="8"/>
      <c r="S98" s="8"/>
      <c r="T98" s="8"/>
      <c r="U98" s="15"/>
      <c r="V98" s="8"/>
      <c r="W98" s="15"/>
      <c r="X98" s="15"/>
      <c r="Y98" s="15"/>
      <c r="Z98" s="15"/>
      <c r="AA98" s="7"/>
      <c r="AB98" s="7"/>
      <c r="AC98" s="109"/>
      <c r="AD98" s="104"/>
      <c r="AE98" s="104"/>
      <c r="AF98" s="145"/>
      <c r="AG98" s="104"/>
      <c r="AH98" s="104"/>
    </row>
    <row r="99" spans="1:34" s="75" customFormat="1" ht="12">
      <c r="A99" s="13" t="s">
        <v>212</v>
      </c>
      <c r="B99" s="20" t="s">
        <v>145</v>
      </c>
      <c r="C99" s="54"/>
      <c r="D99" s="59"/>
      <c r="E99" s="12"/>
      <c r="F99" s="12"/>
      <c r="G99" s="55"/>
      <c r="H99" s="116"/>
      <c r="I99" s="116"/>
      <c r="J99" s="116"/>
      <c r="K99" s="116"/>
      <c r="L99" s="116"/>
      <c r="M99" s="116"/>
      <c r="N99" s="116"/>
      <c r="O99" s="116"/>
      <c r="P99" s="55"/>
      <c r="Q99" s="55"/>
      <c r="R99" s="55">
        <f>R$139</f>
        <v>6552</v>
      </c>
      <c r="S99" s="55"/>
      <c r="T99" s="55"/>
      <c r="U99" s="55"/>
      <c r="V99" s="55"/>
      <c r="W99" s="55"/>
      <c r="X99" s="55"/>
      <c r="Y99" s="55"/>
      <c r="Z99" s="55"/>
      <c r="AA99" s="116"/>
      <c r="AB99" s="116"/>
      <c r="AC99" s="108">
        <f>AE99*12</f>
        <v>6181.5599999999995</v>
      </c>
      <c r="AD99" s="105">
        <f>AE99/AD6</f>
        <v>1.3034665991902834</v>
      </c>
      <c r="AE99" s="105">
        <f>AE100*AD26</f>
        <v>515.13</v>
      </c>
      <c r="AF99" s="108">
        <f>AH99*12</f>
        <v>6743.52</v>
      </c>
      <c r="AG99" s="105">
        <f>AH99/AG6</f>
        <v>1.0710120068610633</v>
      </c>
      <c r="AH99" s="105">
        <f>AH100*AG26</f>
        <v>561.96</v>
      </c>
    </row>
    <row r="100" spans="1:34" s="6" customFormat="1" ht="12">
      <c r="A100" s="3" t="s">
        <v>215</v>
      </c>
      <c r="B100" s="2" t="s">
        <v>9</v>
      </c>
      <c r="C100" s="1" t="s">
        <v>8</v>
      </c>
      <c r="D100" s="11" t="s">
        <v>7</v>
      </c>
      <c r="E100" s="8"/>
      <c r="F100" s="8"/>
      <c r="G100" s="8"/>
      <c r="H100" s="8">
        <v>1</v>
      </c>
      <c r="I100" s="8">
        <v>1</v>
      </c>
      <c r="J100" s="10">
        <v>1</v>
      </c>
      <c r="K100" s="10">
        <f>H100*I100*J100</f>
        <v>1</v>
      </c>
      <c r="L100" s="8"/>
      <c r="M100" s="8"/>
      <c r="N100" s="8">
        <v>562</v>
      </c>
      <c r="O100" s="9">
        <f>N100*K100/12</f>
        <v>46.833333333333336</v>
      </c>
      <c r="P100" s="8"/>
      <c r="Q100" s="8"/>
      <c r="R100" s="8">
        <f>R$139</f>
        <v>6552</v>
      </c>
      <c r="S100" s="8"/>
      <c r="T100" s="8"/>
      <c r="U100" s="8"/>
      <c r="V100" s="8"/>
      <c r="W100" s="8"/>
      <c r="X100" s="8"/>
      <c r="Y100" s="8"/>
      <c r="Z100" s="8"/>
      <c r="AA100" s="7">
        <f>O100*(1+Z99)</f>
        <v>46.833333333333336</v>
      </c>
      <c r="AB100" s="7">
        <f>ROUND(AA100,2)</f>
        <v>46.83</v>
      </c>
      <c r="AC100" s="109">
        <f>AE100*12</f>
        <v>561.96</v>
      </c>
      <c r="AD100" s="106"/>
      <c r="AE100" s="104">
        <f>IF(AE30=2,IF(AE32=2,$AB$100*3,$AB$100*2),$AB$100*1)</f>
        <v>46.83</v>
      </c>
      <c r="AF100" s="145">
        <f>AH100*12</f>
        <v>561.96</v>
      </c>
      <c r="AG100" s="106"/>
      <c r="AH100" s="104">
        <f>IF(AH30=2,IF(AH32=2,$AB$100*3,$AB$100*2),$AB$100*1)</f>
        <v>46.83</v>
      </c>
    </row>
    <row r="101" spans="1:34" s="6" customFormat="1" ht="12" outlineLevel="1">
      <c r="A101" s="21" t="s">
        <v>264</v>
      </c>
      <c r="B101" s="61" t="s">
        <v>6</v>
      </c>
      <c r="C101" s="129"/>
      <c r="D101" s="11"/>
      <c r="E101" s="12"/>
      <c r="F101" s="12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>
        <f>R$139</f>
        <v>6552</v>
      </c>
      <c r="S101" s="8"/>
      <c r="T101" s="8"/>
      <c r="U101" s="8"/>
      <c r="V101" s="8"/>
      <c r="W101" s="8"/>
      <c r="X101" s="8"/>
      <c r="Y101" s="8"/>
      <c r="Z101" s="8"/>
      <c r="AA101" s="7">
        <f>AA102+AA103</f>
        <v>12034.163255400003</v>
      </c>
      <c r="AB101" s="7">
        <f>ROUND(AA101,2)</f>
        <v>12034.16</v>
      </c>
      <c r="AC101" s="109">
        <f>AE101*12</f>
        <v>0</v>
      </c>
      <c r="AD101" s="104">
        <f>AE101/AD6</f>
        <v>0</v>
      </c>
      <c r="AE101" s="104">
        <f>$AB$101*AD$25</f>
        <v>0</v>
      </c>
      <c r="AF101" s="145">
        <f>AH101*12</f>
        <v>0</v>
      </c>
      <c r="AG101" s="104">
        <f>AH101/AG6</f>
        <v>0</v>
      </c>
      <c r="AH101" s="104">
        <f>$AB$101*AG$25</f>
        <v>0</v>
      </c>
    </row>
    <row r="102" spans="1:34" s="6" customFormat="1" ht="12" outlineLevel="1">
      <c r="A102" s="5" t="s">
        <v>265</v>
      </c>
      <c r="B102" s="4" t="s">
        <v>5</v>
      </c>
      <c r="C102" s="173" t="s">
        <v>200</v>
      </c>
      <c r="D102" s="11" t="s">
        <v>3</v>
      </c>
      <c r="E102" s="8"/>
      <c r="F102" s="8"/>
      <c r="G102" s="8"/>
      <c r="H102" s="8"/>
      <c r="I102" s="8"/>
      <c r="J102" s="8"/>
      <c r="K102" s="8"/>
      <c r="L102" s="8"/>
      <c r="M102" s="8">
        <f>16</f>
        <v>16</v>
      </c>
      <c r="N102" s="8"/>
      <c r="O102" s="8"/>
      <c r="P102" s="8"/>
      <c r="Q102" s="8">
        <f>1/M102</f>
        <v>6.25E-2</v>
      </c>
      <c r="R102" s="8">
        <f>R$139</f>
        <v>6552</v>
      </c>
      <c r="S102" s="8">
        <v>5</v>
      </c>
      <c r="T102" s="8">
        <v>1.51</v>
      </c>
      <c r="U102" s="15">
        <v>0.7</v>
      </c>
      <c r="V102" s="8">
        <f>R102*T102*(1+U102)*2.6</f>
        <v>43729.358400000005</v>
      </c>
      <c r="W102" s="15">
        <v>0.3</v>
      </c>
      <c r="X102" s="15">
        <v>0.6</v>
      </c>
      <c r="Y102" s="15">
        <v>0.1</v>
      </c>
      <c r="Z102" s="15"/>
      <c r="AA102" s="113">
        <f>Q102*V102*(1+W102+X102)*(1+Y102)*(1+Z102)</f>
        <v>5712.147441000001</v>
      </c>
      <c r="AB102" s="7">
        <f>ROUND(AA102,2)</f>
        <v>5712.15</v>
      </c>
      <c r="AC102" s="109"/>
      <c r="AD102" s="104"/>
      <c r="AE102" s="104"/>
      <c r="AF102" s="145"/>
      <c r="AG102" s="104"/>
      <c r="AH102" s="104"/>
    </row>
    <row r="103" spans="1:34" s="6" customFormat="1" ht="12" outlineLevel="1">
      <c r="A103" s="5" t="s">
        <v>266</v>
      </c>
      <c r="B103" s="4" t="s">
        <v>4</v>
      </c>
      <c r="C103" s="174"/>
      <c r="D103" s="11" t="s">
        <v>3</v>
      </c>
      <c r="E103" s="8"/>
      <c r="F103" s="8"/>
      <c r="G103" s="8"/>
      <c r="H103" s="8"/>
      <c r="I103" s="8"/>
      <c r="J103" s="8"/>
      <c r="K103" s="8"/>
      <c r="L103" s="8"/>
      <c r="M103" s="8">
        <v>17.5</v>
      </c>
      <c r="N103" s="8"/>
      <c r="O103" s="8"/>
      <c r="P103" s="8"/>
      <c r="Q103" s="18">
        <f>1/M103</f>
        <v>5.7142857142857141E-2</v>
      </c>
      <c r="R103" s="8">
        <f>R$139</f>
        <v>6552</v>
      </c>
      <c r="S103" s="8">
        <v>5</v>
      </c>
      <c r="T103" s="8">
        <v>1.51</v>
      </c>
      <c r="U103" s="15">
        <v>0.7</v>
      </c>
      <c r="V103" s="8">
        <f>R103*T103*(1+U103)*2.6</f>
        <v>43729.358400000005</v>
      </c>
      <c r="W103" s="15">
        <v>0.3</v>
      </c>
      <c r="X103" s="15">
        <v>1</v>
      </c>
      <c r="Y103" s="15">
        <v>0.1</v>
      </c>
      <c r="Z103" s="15"/>
      <c r="AA103" s="113">
        <f>Q103*V103*(1+W103+X103)*(1+Y103)*(1+Z103)</f>
        <v>6322.0158144000006</v>
      </c>
      <c r="AB103" s="7">
        <f>ROUND(AA103,2)</f>
        <v>6322.02</v>
      </c>
      <c r="AC103" s="109"/>
      <c r="AD103" s="104"/>
      <c r="AE103" s="104"/>
      <c r="AF103" s="145"/>
      <c r="AG103" s="104"/>
      <c r="AH103" s="104"/>
    </row>
    <row r="104" spans="1:34" s="6" customFormat="1" ht="24">
      <c r="A104" s="21"/>
      <c r="B104" s="142" t="s">
        <v>139</v>
      </c>
      <c r="C104" s="1"/>
      <c r="D104" s="11"/>
      <c r="E104" s="1"/>
      <c r="F104" s="1"/>
      <c r="G104" s="8"/>
      <c r="H104" s="8"/>
      <c r="I104" s="8"/>
      <c r="J104" s="10"/>
      <c r="K104" s="10"/>
      <c r="L104" s="19"/>
      <c r="M104" s="8"/>
      <c r="N104" s="8"/>
      <c r="O104" s="8"/>
      <c r="P104" s="19"/>
      <c r="Q104" s="18"/>
      <c r="R104" s="8"/>
      <c r="S104" s="8"/>
      <c r="T104" s="8"/>
      <c r="U104" s="17"/>
      <c r="V104" s="8"/>
      <c r="W104" s="15"/>
      <c r="X104" s="15"/>
      <c r="Y104" s="15"/>
      <c r="Z104" s="15"/>
      <c r="AA104" s="7"/>
      <c r="AB104" s="7"/>
      <c r="AC104" s="108">
        <f t="shared" ref="AC104:AE104" si="13">AC105+AC117+AC119+AC130+AC132+AC133</f>
        <v>162837.2352</v>
      </c>
      <c r="AD104" s="108">
        <f t="shared" si="13"/>
        <v>34.336461538461542</v>
      </c>
      <c r="AE104" s="108">
        <f t="shared" si="13"/>
        <v>13569.769600000001</v>
      </c>
      <c r="AF104" s="108">
        <f t="shared" ref="AF104:AH104" si="14">AF105+AF117+AF119+AF130+AF132+AF133</f>
        <v>184285.57439999998</v>
      </c>
      <c r="AG104" s="108">
        <f t="shared" si="14"/>
        <v>29.268403278063655</v>
      </c>
      <c r="AH104" s="108">
        <f t="shared" si="14"/>
        <v>15357.131200000002</v>
      </c>
    </row>
    <row r="105" spans="1:34" s="6" customFormat="1" ht="12">
      <c r="A105" s="13" t="s">
        <v>203</v>
      </c>
      <c r="B105" s="20" t="s">
        <v>67</v>
      </c>
      <c r="C105" s="54"/>
      <c r="D105" s="54"/>
      <c r="E105" s="54"/>
      <c r="F105" s="5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12"/>
      <c r="AB105" s="12"/>
      <c r="AC105" s="108">
        <f t="shared" ref="AC105:AC132" si="15">AE105*12</f>
        <v>37291.991999999998</v>
      </c>
      <c r="AD105" s="105">
        <f>SUM(AD106:AD115)</f>
        <v>7.8635273279352234</v>
      </c>
      <c r="AE105" s="105">
        <f>SUM(AE106:AE115)</f>
        <v>3107.6660000000002</v>
      </c>
      <c r="AF105" s="108">
        <f t="shared" ref="AF105:AF119" si="16">AH105*12</f>
        <v>35557.619999999995</v>
      </c>
      <c r="AG105" s="105">
        <f>SUM(AG106:AG115)</f>
        <v>5.6472936916333136</v>
      </c>
      <c r="AH105" s="105">
        <f>SUM(AH106:AH115)</f>
        <v>2963.1349999999998</v>
      </c>
    </row>
    <row r="106" spans="1:34" s="6" customFormat="1" ht="13.5" customHeight="1">
      <c r="A106" s="3" t="s">
        <v>216</v>
      </c>
      <c r="B106" s="2" t="s">
        <v>202</v>
      </c>
      <c r="C106" s="1" t="s">
        <v>48</v>
      </c>
      <c r="D106" s="1" t="s">
        <v>61</v>
      </c>
      <c r="E106" s="55">
        <v>0.59</v>
      </c>
      <c r="F106" s="8">
        <v>1</v>
      </c>
      <c r="G106" s="8">
        <f t="shared" ref="G106:G112" si="17">E106*F106</f>
        <v>0.59</v>
      </c>
      <c r="H106" s="8">
        <v>3</v>
      </c>
      <c r="I106" s="9">
        <f>52/12</f>
        <v>4.333333333333333</v>
      </c>
      <c r="J106" s="10">
        <v>12</v>
      </c>
      <c r="K106" s="10">
        <f t="shared" ref="K106:K112" si="18">H106*I106*J106</f>
        <v>156</v>
      </c>
      <c r="L106" s="19">
        <f t="shared" ref="L106:L112" si="19">G106*K106/60</f>
        <v>1.5339999999999998</v>
      </c>
      <c r="M106" s="19"/>
      <c r="N106" s="19"/>
      <c r="O106" s="19"/>
      <c r="P106" s="19">
        <f t="shared" ref="P106:P116" si="20">36*(52-8)</f>
        <v>1584</v>
      </c>
      <c r="Q106" s="18">
        <f t="shared" ref="Q106:Q112" si="21">L106/P106</f>
        <v>9.6843434343434336E-4</v>
      </c>
      <c r="R106" s="8">
        <f t="shared" ref="R106:R129" si="22">R$139</f>
        <v>6552</v>
      </c>
      <c r="S106" s="8">
        <v>2</v>
      </c>
      <c r="T106" s="8">
        <v>1.1100000000000001</v>
      </c>
      <c r="U106" s="17">
        <v>0.4</v>
      </c>
      <c r="V106" s="8">
        <f t="shared" ref="V106:V112" si="23">R106*T106*(1+U106)*2.6</f>
        <v>26472.700799999999</v>
      </c>
      <c r="W106" s="15">
        <v>0.3</v>
      </c>
      <c r="X106" s="15">
        <v>0.1</v>
      </c>
      <c r="Y106" s="15">
        <v>0.1</v>
      </c>
      <c r="Z106" s="15"/>
      <c r="AA106" s="7">
        <f t="shared" ref="AA106:AA112" si="24">Q106*V106*(1+W106+X106)*(1+Y106)*(1+Z106)</f>
        <v>39.481091832000004</v>
      </c>
      <c r="AB106" s="7">
        <f t="shared" ref="AB106:AB132" si="25">ROUND(AA106,2)</f>
        <v>39.479999999999997</v>
      </c>
      <c r="AC106" s="109">
        <f t="shared" si="15"/>
        <v>26625.311999999998</v>
      </c>
      <c r="AD106" s="104">
        <f t="shared" ref="AD106:AD116" si="26">AE106/AD$6</f>
        <v>5.6143117408906882</v>
      </c>
      <c r="AE106" s="104">
        <f>$AB106*AD$9</f>
        <v>2218.7759999999998</v>
      </c>
      <c r="AF106" s="145">
        <f t="shared" si="16"/>
        <v>25346.159999999996</v>
      </c>
      <c r="AG106" s="104">
        <f t="shared" ref="AG106:AG116" si="27">AH106/AG$6</f>
        <v>4.0255002858776434</v>
      </c>
      <c r="AH106" s="104">
        <f>$AB106*AG$9</f>
        <v>2112.1799999999998</v>
      </c>
    </row>
    <row r="107" spans="1:34" s="6" customFormat="1" ht="12">
      <c r="A107" s="3" t="s">
        <v>217</v>
      </c>
      <c r="B107" s="2" t="s">
        <v>201</v>
      </c>
      <c r="C107" s="1" t="s">
        <v>56</v>
      </c>
      <c r="D107" s="1" t="s">
        <v>61</v>
      </c>
      <c r="E107" s="55">
        <v>1.35</v>
      </c>
      <c r="F107" s="8">
        <v>1</v>
      </c>
      <c r="G107" s="8">
        <f>E107*F107</f>
        <v>1.35</v>
      </c>
      <c r="H107" s="8">
        <v>2</v>
      </c>
      <c r="I107" s="8">
        <v>1</v>
      </c>
      <c r="J107" s="10">
        <v>12</v>
      </c>
      <c r="K107" s="10">
        <f>H107*I107*J107</f>
        <v>24</v>
      </c>
      <c r="L107" s="19">
        <f>G107*K107/60</f>
        <v>0.54000000000000015</v>
      </c>
      <c r="M107" s="19"/>
      <c r="N107" s="19"/>
      <c r="O107" s="19"/>
      <c r="P107" s="19">
        <f t="shared" si="20"/>
        <v>1584</v>
      </c>
      <c r="Q107" s="18">
        <f>L107/P107</f>
        <v>3.4090909090909099E-4</v>
      </c>
      <c r="R107" s="8">
        <f t="shared" si="22"/>
        <v>6552</v>
      </c>
      <c r="S107" s="8">
        <v>2</v>
      </c>
      <c r="T107" s="8">
        <v>1.1100000000000001</v>
      </c>
      <c r="U107" s="17">
        <v>0.4</v>
      </c>
      <c r="V107" s="8">
        <f>R107*T107*(1+U107)*2.6</f>
        <v>26472.700799999999</v>
      </c>
      <c r="W107" s="15">
        <v>0.3</v>
      </c>
      <c r="X107" s="15">
        <v>0.1</v>
      </c>
      <c r="Y107" s="15">
        <v>0.1</v>
      </c>
      <c r="Z107" s="15"/>
      <c r="AA107" s="7">
        <f>Q107*V107*(1+W107+X107)*(1+Y107)*(1+Z107)</f>
        <v>13.898167920000004</v>
      </c>
      <c r="AB107" s="7">
        <f t="shared" si="25"/>
        <v>13.9</v>
      </c>
      <c r="AC107" s="109">
        <f t="shared" si="15"/>
        <v>9374.16</v>
      </c>
      <c r="AD107" s="104">
        <f t="shared" si="26"/>
        <v>1.9766700404858302</v>
      </c>
      <c r="AE107" s="104">
        <f>$AB107*AD$9</f>
        <v>781.18000000000006</v>
      </c>
      <c r="AF107" s="145">
        <f t="shared" si="16"/>
        <v>8923.7999999999993</v>
      </c>
      <c r="AG107" s="104">
        <f t="shared" si="27"/>
        <v>1.4172860682294643</v>
      </c>
      <c r="AH107" s="104">
        <f>$AB107*AG$9</f>
        <v>743.65</v>
      </c>
    </row>
    <row r="108" spans="1:34" s="6" customFormat="1" ht="12" customHeight="1" outlineLevel="1">
      <c r="A108" s="3" t="s">
        <v>218</v>
      </c>
      <c r="B108" s="2" t="s">
        <v>58</v>
      </c>
      <c r="C108" s="1" t="s">
        <v>48</v>
      </c>
      <c r="D108" s="1" t="s">
        <v>55</v>
      </c>
      <c r="E108" s="55">
        <v>0.62</v>
      </c>
      <c r="F108" s="8">
        <v>1</v>
      </c>
      <c r="G108" s="8">
        <f t="shared" si="17"/>
        <v>0.62</v>
      </c>
      <c r="H108" s="8">
        <v>3</v>
      </c>
      <c r="I108" s="9">
        <f>52/12</f>
        <v>4.333333333333333</v>
      </c>
      <c r="J108" s="10">
        <v>12</v>
      </c>
      <c r="K108" s="10">
        <f t="shared" si="18"/>
        <v>156</v>
      </c>
      <c r="L108" s="19">
        <f t="shared" si="19"/>
        <v>1.6119999999999999</v>
      </c>
      <c r="M108" s="19"/>
      <c r="N108" s="19"/>
      <c r="O108" s="19"/>
      <c r="P108" s="19">
        <f t="shared" si="20"/>
        <v>1584</v>
      </c>
      <c r="Q108" s="18">
        <f t="shared" si="21"/>
        <v>1.0176767676767676E-3</v>
      </c>
      <c r="R108" s="8">
        <f t="shared" si="22"/>
        <v>6552</v>
      </c>
      <c r="S108" s="8">
        <v>2</v>
      </c>
      <c r="T108" s="8">
        <v>1.1100000000000001</v>
      </c>
      <c r="U108" s="17">
        <v>0.4</v>
      </c>
      <c r="V108" s="8">
        <f t="shared" si="23"/>
        <v>26472.700799999999</v>
      </c>
      <c r="W108" s="15">
        <v>0.3</v>
      </c>
      <c r="X108" s="15">
        <v>0.1</v>
      </c>
      <c r="Y108" s="15">
        <v>0.1</v>
      </c>
      <c r="Z108" s="15"/>
      <c r="AA108" s="7">
        <f t="shared" si="24"/>
        <v>41.488604976000005</v>
      </c>
      <c r="AB108" s="7">
        <f t="shared" si="25"/>
        <v>41.49</v>
      </c>
      <c r="AC108" s="109">
        <f t="shared" si="15"/>
        <v>0</v>
      </c>
      <c r="AD108" s="104">
        <f t="shared" si="26"/>
        <v>0</v>
      </c>
      <c r="AE108" s="104">
        <f>$AB108*AD$10</f>
        <v>0</v>
      </c>
      <c r="AF108" s="145">
        <f t="shared" si="16"/>
        <v>0</v>
      </c>
      <c r="AG108" s="104">
        <f t="shared" si="27"/>
        <v>0</v>
      </c>
      <c r="AH108" s="104">
        <f>$AB108*AG$10</f>
        <v>0</v>
      </c>
    </row>
    <row r="109" spans="1:34" s="6" customFormat="1" ht="12" customHeight="1" outlineLevel="1">
      <c r="A109" s="3" t="s">
        <v>219</v>
      </c>
      <c r="B109" s="2" t="s">
        <v>57</v>
      </c>
      <c r="C109" s="1" t="s">
        <v>56</v>
      </c>
      <c r="D109" s="1" t="s">
        <v>55</v>
      </c>
      <c r="E109" s="55">
        <v>0.78</v>
      </c>
      <c r="F109" s="8">
        <v>1</v>
      </c>
      <c r="G109" s="8">
        <f t="shared" si="17"/>
        <v>0.78</v>
      </c>
      <c r="H109" s="8">
        <v>2</v>
      </c>
      <c r="I109" s="8">
        <v>1</v>
      </c>
      <c r="J109" s="10">
        <v>12</v>
      </c>
      <c r="K109" s="10">
        <f t="shared" si="18"/>
        <v>24</v>
      </c>
      <c r="L109" s="19">
        <f t="shared" si="19"/>
        <v>0.312</v>
      </c>
      <c r="M109" s="19"/>
      <c r="N109" s="19"/>
      <c r="O109" s="19"/>
      <c r="P109" s="19">
        <f t="shared" si="20"/>
        <v>1584</v>
      </c>
      <c r="Q109" s="18">
        <f t="shared" si="21"/>
        <v>1.9696969696969698E-4</v>
      </c>
      <c r="R109" s="8">
        <f t="shared" si="22"/>
        <v>6552</v>
      </c>
      <c r="S109" s="8">
        <v>2</v>
      </c>
      <c r="T109" s="8">
        <v>1.1100000000000001</v>
      </c>
      <c r="U109" s="17">
        <v>0.4</v>
      </c>
      <c r="V109" s="8">
        <f t="shared" si="23"/>
        <v>26472.700799999999</v>
      </c>
      <c r="W109" s="15">
        <v>0.3</v>
      </c>
      <c r="X109" s="15">
        <v>0.1</v>
      </c>
      <c r="Y109" s="15">
        <v>0.1</v>
      </c>
      <c r="Z109" s="15"/>
      <c r="AA109" s="7">
        <f t="shared" si="24"/>
        <v>8.030052576000001</v>
      </c>
      <c r="AB109" s="7">
        <f t="shared" si="25"/>
        <v>8.0299999999999994</v>
      </c>
      <c r="AC109" s="109">
        <f t="shared" si="15"/>
        <v>0</v>
      </c>
      <c r="AD109" s="104">
        <f t="shared" si="26"/>
        <v>0</v>
      </c>
      <c r="AE109" s="104">
        <f>$AB109*AD$10</f>
        <v>0</v>
      </c>
      <c r="AF109" s="145">
        <f t="shared" si="16"/>
        <v>0</v>
      </c>
      <c r="AG109" s="104">
        <f t="shared" si="27"/>
        <v>0</v>
      </c>
      <c r="AH109" s="104">
        <f>$AB109*AG$10</f>
        <v>0</v>
      </c>
    </row>
    <row r="110" spans="1:34" s="6" customFormat="1" ht="12" outlineLevel="1">
      <c r="A110" s="3" t="s">
        <v>220</v>
      </c>
      <c r="B110" s="2" t="s">
        <v>54</v>
      </c>
      <c r="C110" s="144" t="s">
        <v>59</v>
      </c>
      <c r="D110" s="11" t="s">
        <v>257</v>
      </c>
      <c r="E110" s="55">
        <v>0.6</v>
      </c>
      <c r="F110" s="8">
        <v>1.5</v>
      </c>
      <c r="G110" s="8">
        <f t="shared" si="17"/>
        <v>0.89999999999999991</v>
      </c>
      <c r="H110" s="8">
        <v>3</v>
      </c>
      <c r="I110" s="9">
        <f>52/12</f>
        <v>4.333333333333333</v>
      </c>
      <c r="J110" s="10">
        <v>12</v>
      </c>
      <c r="K110" s="10">
        <f t="shared" si="18"/>
        <v>156</v>
      </c>
      <c r="L110" s="19">
        <f t="shared" si="19"/>
        <v>2.3399999999999994</v>
      </c>
      <c r="M110" s="19"/>
      <c r="N110" s="19"/>
      <c r="O110" s="19"/>
      <c r="P110" s="19">
        <f t="shared" si="20"/>
        <v>1584</v>
      </c>
      <c r="Q110" s="18">
        <f t="shared" si="21"/>
        <v>1.4772727272727268E-3</v>
      </c>
      <c r="R110" s="8">
        <f t="shared" si="22"/>
        <v>6552</v>
      </c>
      <c r="S110" s="8">
        <v>2</v>
      </c>
      <c r="T110" s="8">
        <v>1.1100000000000001</v>
      </c>
      <c r="U110" s="17">
        <v>0.4</v>
      </c>
      <c r="V110" s="8">
        <f t="shared" si="23"/>
        <v>26472.700799999999</v>
      </c>
      <c r="W110" s="15">
        <v>0.3</v>
      </c>
      <c r="X110" s="15">
        <v>0.1</v>
      </c>
      <c r="Y110" s="15">
        <v>0.1</v>
      </c>
      <c r="Z110" s="15"/>
      <c r="AA110" s="7">
        <f t="shared" si="24"/>
        <v>60.225394319999992</v>
      </c>
      <c r="AB110" s="7">
        <f t="shared" si="25"/>
        <v>60.23</v>
      </c>
      <c r="AC110" s="109">
        <f t="shared" si="15"/>
        <v>0</v>
      </c>
      <c r="AD110" s="104">
        <f t="shared" si="26"/>
        <v>0</v>
      </c>
      <c r="AE110" s="98">
        <f>$AB110*AD$25</f>
        <v>0</v>
      </c>
      <c r="AF110" s="145">
        <f t="shared" si="16"/>
        <v>0</v>
      </c>
      <c r="AG110" s="104">
        <f t="shared" si="27"/>
        <v>0</v>
      </c>
      <c r="AH110" s="98">
        <f>$AB110*AG$25</f>
        <v>0</v>
      </c>
    </row>
    <row r="111" spans="1:34" s="6" customFormat="1" ht="12" outlineLevel="1">
      <c r="A111" s="3" t="s">
        <v>221</v>
      </c>
      <c r="B111" s="2" t="s">
        <v>53</v>
      </c>
      <c r="C111" s="144" t="s">
        <v>59</v>
      </c>
      <c r="D111" s="11" t="s">
        <v>257</v>
      </c>
      <c r="E111" s="55">
        <v>1.06</v>
      </c>
      <c r="F111" s="8">
        <v>1.5</v>
      </c>
      <c r="G111" s="8">
        <f t="shared" si="17"/>
        <v>1.59</v>
      </c>
      <c r="H111" s="8">
        <v>1</v>
      </c>
      <c r="I111" s="9">
        <f>52/12</f>
        <v>4.333333333333333</v>
      </c>
      <c r="J111" s="10">
        <v>12</v>
      </c>
      <c r="K111" s="10">
        <f t="shared" si="18"/>
        <v>52</v>
      </c>
      <c r="L111" s="19">
        <f t="shared" si="19"/>
        <v>1.3780000000000001</v>
      </c>
      <c r="M111" s="19"/>
      <c r="N111" s="19"/>
      <c r="O111" s="19"/>
      <c r="P111" s="19">
        <f t="shared" si="20"/>
        <v>1584</v>
      </c>
      <c r="Q111" s="18">
        <f t="shared" si="21"/>
        <v>8.6994949494949498E-4</v>
      </c>
      <c r="R111" s="8">
        <f t="shared" si="22"/>
        <v>6552</v>
      </c>
      <c r="S111" s="8">
        <v>2</v>
      </c>
      <c r="T111" s="8">
        <v>1.1100000000000001</v>
      </c>
      <c r="U111" s="17">
        <v>0.4</v>
      </c>
      <c r="V111" s="8">
        <f t="shared" si="23"/>
        <v>26472.700799999999</v>
      </c>
      <c r="W111" s="15">
        <v>0.3</v>
      </c>
      <c r="X111" s="15">
        <v>0.1</v>
      </c>
      <c r="Y111" s="15">
        <v>0.1</v>
      </c>
      <c r="Z111" s="15"/>
      <c r="AA111" s="7">
        <f t="shared" si="24"/>
        <v>35.466065544000003</v>
      </c>
      <c r="AB111" s="7">
        <f t="shared" si="25"/>
        <v>35.47</v>
      </c>
      <c r="AC111" s="109">
        <f t="shared" si="15"/>
        <v>0</v>
      </c>
      <c r="AD111" s="104">
        <f t="shared" si="26"/>
        <v>0</v>
      </c>
      <c r="AE111" s="98">
        <f>$AB111*AD$25</f>
        <v>0</v>
      </c>
      <c r="AF111" s="145">
        <f t="shared" si="16"/>
        <v>0</v>
      </c>
      <c r="AG111" s="104">
        <f t="shared" si="27"/>
        <v>0</v>
      </c>
      <c r="AH111" s="98">
        <f>$AB111*AG$25</f>
        <v>0</v>
      </c>
    </row>
    <row r="112" spans="1:34" s="6" customFormat="1" ht="12" outlineLevel="1">
      <c r="A112" s="3" t="s">
        <v>222</v>
      </c>
      <c r="B112" s="2" t="s">
        <v>52</v>
      </c>
      <c r="C112" s="144" t="s">
        <v>59</v>
      </c>
      <c r="D112" s="11" t="s">
        <v>257</v>
      </c>
      <c r="E112" s="55">
        <v>1.2</v>
      </c>
      <c r="F112" s="8">
        <f>((1.5+1)*2+1)*2</f>
        <v>12</v>
      </c>
      <c r="G112" s="8">
        <f t="shared" si="17"/>
        <v>14.399999999999999</v>
      </c>
      <c r="H112" s="8">
        <v>6</v>
      </c>
      <c r="I112" s="8">
        <v>1</v>
      </c>
      <c r="J112" s="8">
        <v>1</v>
      </c>
      <c r="K112" s="10">
        <f t="shared" si="18"/>
        <v>6</v>
      </c>
      <c r="L112" s="19">
        <f t="shared" si="19"/>
        <v>1.44</v>
      </c>
      <c r="M112" s="19"/>
      <c r="N112" s="19"/>
      <c r="O112" s="19"/>
      <c r="P112" s="19">
        <f t="shared" si="20"/>
        <v>1584</v>
      </c>
      <c r="Q112" s="18">
        <f t="shared" si="21"/>
        <v>9.0909090909090909E-4</v>
      </c>
      <c r="R112" s="8">
        <f t="shared" si="22"/>
        <v>6552</v>
      </c>
      <c r="S112" s="8">
        <v>2</v>
      </c>
      <c r="T112" s="8">
        <v>1.1100000000000001</v>
      </c>
      <c r="U112" s="17">
        <v>0.4</v>
      </c>
      <c r="V112" s="8">
        <f t="shared" si="23"/>
        <v>26472.700799999999</v>
      </c>
      <c r="W112" s="15">
        <v>0.3</v>
      </c>
      <c r="X112" s="15">
        <v>0.1</v>
      </c>
      <c r="Y112" s="15">
        <v>0.1</v>
      </c>
      <c r="Z112" s="15"/>
      <c r="AA112" s="7">
        <f t="shared" si="24"/>
        <v>37.061781119999999</v>
      </c>
      <c r="AB112" s="7">
        <f t="shared" si="25"/>
        <v>37.06</v>
      </c>
      <c r="AC112" s="109">
        <f t="shared" si="15"/>
        <v>0</v>
      </c>
      <c r="AD112" s="104">
        <f t="shared" si="26"/>
        <v>0</v>
      </c>
      <c r="AE112" s="98">
        <f>$AB112*AD$25</f>
        <v>0</v>
      </c>
      <c r="AF112" s="145">
        <f t="shared" si="16"/>
        <v>0</v>
      </c>
      <c r="AG112" s="104">
        <f t="shared" si="27"/>
        <v>0</v>
      </c>
      <c r="AH112" s="98">
        <f>$AB112*AG$25</f>
        <v>0</v>
      </c>
    </row>
    <row r="113" spans="1:34" s="6" customFormat="1" ht="12">
      <c r="A113" s="3" t="s">
        <v>223</v>
      </c>
      <c r="B113" s="2" t="s">
        <v>60</v>
      </c>
      <c r="C113" s="1" t="s">
        <v>10</v>
      </c>
      <c r="D113" s="1" t="s">
        <v>51</v>
      </c>
      <c r="E113" s="55">
        <v>1.36</v>
      </c>
      <c r="F113" s="16">
        <f>1*0.25/40</f>
        <v>6.2500000000000003E-3</v>
      </c>
      <c r="G113" s="8">
        <f>E113*F113</f>
        <v>8.5000000000000006E-3</v>
      </c>
      <c r="H113" s="8">
        <v>2</v>
      </c>
      <c r="I113" s="8">
        <v>1</v>
      </c>
      <c r="J113" s="10">
        <v>1</v>
      </c>
      <c r="K113" s="10">
        <f>H113*I113*J113</f>
        <v>2</v>
      </c>
      <c r="L113" s="19">
        <f>G113*K113/60</f>
        <v>2.8333333333333335E-4</v>
      </c>
      <c r="M113" s="19"/>
      <c r="N113" s="19"/>
      <c r="O113" s="19"/>
      <c r="P113" s="19">
        <f t="shared" si="20"/>
        <v>1584</v>
      </c>
      <c r="Q113" s="18">
        <f>L113/P113</f>
        <v>1.7887205387205387E-7</v>
      </c>
      <c r="R113" s="8">
        <f t="shared" si="22"/>
        <v>6552</v>
      </c>
      <c r="S113" s="8">
        <v>2</v>
      </c>
      <c r="T113" s="8">
        <v>1.1100000000000001</v>
      </c>
      <c r="U113" s="17">
        <v>0.4</v>
      </c>
      <c r="V113" s="8">
        <f>R113*T113*(1+U113)*2.6</f>
        <v>26472.700799999999</v>
      </c>
      <c r="W113" s="15">
        <v>0.3</v>
      </c>
      <c r="X113" s="15">
        <v>0.1</v>
      </c>
      <c r="Y113" s="15">
        <v>0.1</v>
      </c>
      <c r="Z113" s="15"/>
      <c r="AA113" s="7">
        <f>Q113*V113*(1+W113+X113)*(1+Y113)*(1+Z113)</f>
        <v>7.2922486000000014E-3</v>
      </c>
      <c r="AB113" s="7">
        <f t="shared" si="25"/>
        <v>0.01</v>
      </c>
      <c r="AC113" s="109">
        <f t="shared" si="15"/>
        <v>6.7440000000000007</v>
      </c>
      <c r="AD113" s="104">
        <f t="shared" si="26"/>
        <v>1.4220647773279353E-3</v>
      </c>
      <c r="AE113" s="104">
        <f>$AB113*AD$8</f>
        <v>0.56200000000000006</v>
      </c>
      <c r="AF113" s="145">
        <f t="shared" si="16"/>
        <v>6.42</v>
      </c>
      <c r="AG113" s="104">
        <f t="shared" si="27"/>
        <v>1.0196302649132837E-3</v>
      </c>
      <c r="AH113" s="104">
        <f>$AB113*AG$8</f>
        <v>0.53500000000000003</v>
      </c>
    </row>
    <row r="114" spans="1:34" s="6" customFormat="1" ht="12">
      <c r="A114" s="3" t="s">
        <v>224</v>
      </c>
      <c r="B114" s="2" t="s">
        <v>62</v>
      </c>
      <c r="C114" s="1" t="s">
        <v>59</v>
      </c>
      <c r="D114" s="1" t="s">
        <v>51</v>
      </c>
      <c r="E114" s="56">
        <v>1.0900000000000001</v>
      </c>
      <c r="F114" s="57">
        <f>(0.2*5)/40</f>
        <v>2.5000000000000001E-2</v>
      </c>
      <c r="G114" s="8">
        <f>E114*F114</f>
        <v>2.7250000000000003E-2</v>
      </c>
      <c r="H114" s="8">
        <v>1</v>
      </c>
      <c r="I114" s="8">
        <v>1</v>
      </c>
      <c r="J114" s="10">
        <v>12</v>
      </c>
      <c r="K114" s="10">
        <f>H114*I114*J114</f>
        <v>12</v>
      </c>
      <c r="L114" s="19">
        <f>G114*K114/60</f>
        <v>5.4500000000000009E-3</v>
      </c>
      <c r="M114" s="19"/>
      <c r="N114" s="19"/>
      <c r="O114" s="19"/>
      <c r="P114" s="19">
        <f t="shared" si="20"/>
        <v>1584</v>
      </c>
      <c r="Q114" s="18">
        <f>L114/P114</f>
        <v>3.4406565656565664E-6</v>
      </c>
      <c r="R114" s="8">
        <f t="shared" si="22"/>
        <v>6552</v>
      </c>
      <c r="S114" s="8">
        <v>2</v>
      </c>
      <c r="T114" s="8">
        <v>1.1100000000000001</v>
      </c>
      <c r="U114" s="17">
        <v>0.4</v>
      </c>
      <c r="V114" s="8">
        <f>R114*T114*(1+U114)*2.6</f>
        <v>26472.700799999999</v>
      </c>
      <c r="W114" s="15">
        <v>0.3</v>
      </c>
      <c r="X114" s="15">
        <v>0.1</v>
      </c>
      <c r="Y114" s="15">
        <v>0.1</v>
      </c>
      <c r="Z114" s="15"/>
      <c r="AA114" s="7">
        <f>Q114*V114*(1+W114+X114)*(1+Y114)*(1+Z114)</f>
        <v>0.14026854660000004</v>
      </c>
      <c r="AB114" s="7">
        <f t="shared" si="25"/>
        <v>0.14000000000000001</v>
      </c>
      <c r="AC114" s="109">
        <f t="shared" si="15"/>
        <v>94.416000000000011</v>
      </c>
      <c r="AD114" s="104">
        <f t="shared" si="26"/>
        <v>1.9908906882591098E-2</v>
      </c>
      <c r="AE114" s="104">
        <f>$AB114*AD$8</f>
        <v>7.8680000000000012</v>
      </c>
      <c r="AF114" s="145">
        <f t="shared" si="16"/>
        <v>89.88000000000001</v>
      </c>
      <c r="AG114" s="104">
        <f t="shared" si="27"/>
        <v>1.4274823708785973E-2</v>
      </c>
      <c r="AH114" s="104">
        <f>$AB114*AG$8</f>
        <v>7.4900000000000011</v>
      </c>
    </row>
    <row r="115" spans="1:34" s="6" customFormat="1" ht="12">
      <c r="A115" s="3" t="s">
        <v>225</v>
      </c>
      <c r="B115" s="2" t="s">
        <v>64</v>
      </c>
      <c r="C115" s="1" t="s">
        <v>59</v>
      </c>
      <c r="D115" s="1" t="s">
        <v>63</v>
      </c>
      <c r="E115" s="55">
        <v>1.37</v>
      </c>
      <c r="F115" s="8">
        <f>0.8*2.2*2</f>
        <v>3.5200000000000005</v>
      </c>
      <c r="G115" s="8">
        <f>E115*F115</f>
        <v>4.8224000000000009</v>
      </c>
      <c r="H115" s="8">
        <v>1</v>
      </c>
      <c r="I115" s="8">
        <v>1</v>
      </c>
      <c r="J115" s="10">
        <v>12</v>
      </c>
      <c r="K115" s="10">
        <f>H115*I115*J115</f>
        <v>12</v>
      </c>
      <c r="L115" s="19">
        <f>G115*K115/60</f>
        <v>0.96448000000000012</v>
      </c>
      <c r="M115" s="19"/>
      <c r="N115" s="19"/>
      <c r="O115" s="19"/>
      <c r="P115" s="19">
        <f t="shared" si="20"/>
        <v>1584</v>
      </c>
      <c r="Q115" s="18">
        <f>L115/P115</f>
        <v>6.0888888888888896E-4</v>
      </c>
      <c r="R115" s="8">
        <f t="shared" si="22"/>
        <v>6552</v>
      </c>
      <c r="S115" s="8">
        <v>2</v>
      </c>
      <c r="T115" s="8">
        <v>1.1100000000000001</v>
      </c>
      <c r="U115" s="17">
        <v>0.4</v>
      </c>
      <c r="V115" s="8">
        <f>R115*T115*(1+U115)*2.6</f>
        <v>26472.700799999999</v>
      </c>
      <c r="W115" s="15">
        <v>0.3</v>
      </c>
      <c r="X115" s="15">
        <v>0.1</v>
      </c>
      <c r="Y115" s="15">
        <v>0.1</v>
      </c>
      <c r="Z115" s="15"/>
      <c r="AA115" s="7">
        <f>Q115*V115*(1+W115+X115)*(1+Y115)*(1+Z115)</f>
        <v>24.823157399040007</v>
      </c>
      <c r="AB115" s="7">
        <f t="shared" si="25"/>
        <v>24.82</v>
      </c>
      <c r="AC115" s="109">
        <f t="shared" si="15"/>
        <v>1191.3600000000001</v>
      </c>
      <c r="AD115" s="104">
        <f t="shared" si="26"/>
        <v>0.25121457489878546</v>
      </c>
      <c r="AE115" s="104">
        <f>$AB115*AD$23</f>
        <v>99.28</v>
      </c>
      <c r="AF115" s="145">
        <f t="shared" si="16"/>
        <v>1191.3600000000001</v>
      </c>
      <c r="AG115" s="104">
        <f t="shared" si="27"/>
        <v>0.18921288355250618</v>
      </c>
      <c r="AH115" s="104">
        <f>$AB115*AG$23</f>
        <v>99.28</v>
      </c>
    </row>
    <row r="116" spans="1:34" s="6" customFormat="1" ht="12">
      <c r="A116" s="3" t="s">
        <v>226</v>
      </c>
      <c r="B116" s="2" t="s">
        <v>65</v>
      </c>
      <c r="C116" s="1" t="s">
        <v>10</v>
      </c>
      <c r="D116" s="1" t="s">
        <v>51</v>
      </c>
      <c r="E116" s="55">
        <v>2.9</v>
      </c>
      <c r="F116" s="9">
        <f>1.5/40</f>
        <v>3.7499999999999999E-2</v>
      </c>
      <c r="G116" s="8">
        <f>E116*F116</f>
        <v>0.10875</v>
      </c>
      <c r="H116" s="8">
        <v>2</v>
      </c>
      <c r="I116" s="8">
        <v>1</v>
      </c>
      <c r="J116" s="10">
        <v>1</v>
      </c>
      <c r="K116" s="10">
        <f>H116*I116*J116</f>
        <v>2</v>
      </c>
      <c r="L116" s="19">
        <f>G116*K116/60</f>
        <v>3.6250000000000002E-3</v>
      </c>
      <c r="M116" s="19"/>
      <c r="N116" s="19"/>
      <c r="O116" s="19"/>
      <c r="P116" s="19">
        <f t="shared" si="20"/>
        <v>1584</v>
      </c>
      <c r="Q116" s="18">
        <f>L116/P116</f>
        <v>2.2885101010101012E-6</v>
      </c>
      <c r="R116" s="8">
        <f t="shared" si="22"/>
        <v>6552</v>
      </c>
      <c r="S116" s="8">
        <v>2</v>
      </c>
      <c r="T116" s="8">
        <v>1.1100000000000001</v>
      </c>
      <c r="U116" s="17">
        <v>0.4</v>
      </c>
      <c r="V116" s="8">
        <f>R116*T116*(1+U116)*2.6</f>
        <v>26472.700799999999</v>
      </c>
      <c r="W116" s="15">
        <v>0.3</v>
      </c>
      <c r="X116" s="15">
        <v>0.1</v>
      </c>
      <c r="Y116" s="15">
        <v>0.1</v>
      </c>
      <c r="Z116" s="15"/>
      <c r="AA116" s="7">
        <f>Q116*V116*(1+W116+X116)*(1+Y116)*(1+Z116)</f>
        <v>9.329788650000001E-2</v>
      </c>
      <c r="AB116" s="7">
        <f t="shared" si="25"/>
        <v>0.09</v>
      </c>
      <c r="AC116" s="109">
        <f t="shared" si="15"/>
        <v>60.695999999999998</v>
      </c>
      <c r="AD116" s="104">
        <f t="shared" si="26"/>
        <v>1.2798582995951416E-2</v>
      </c>
      <c r="AE116" s="104">
        <f>$AB116*AD$8</f>
        <v>5.0579999999999998</v>
      </c>
      <c r="AF116" s="145">
        <f t="shared" si="16"/>
        <v>57.779999999999994</v>
      </c>
      <c r="AG116" s="104">
        <f t="shared" si="27"/>
        <v>9.1766723842195523E-3</v>
      </c>
      <c r="AH116" s="104">
        <f>$AB116*AG$8</f>
        <v>4.8149999999999995</v>
      </c>
    </row>
    <row r="117" spans="1:34" s="6" customFormat="1" ht="12">
      <c r="A117" s="13" t="s">
        <v>204</v>
      </c>
      <c r="B117" s="20" t="s">
        <v>30</v>
      </c>
      <c r="C117" s="54"/>
      <c r="D117" s="54"/>
      <c r="E117" s="54"/>
      <c r="F117" s="54"/>
      <c r="G117" s="8"/>
      <c r="H117" s="8"/>
      <c r="I117" s="8"/>
      <c r="J117" s="10"/>
      <c r="K117" s="8"/>
      <c r="L117" s="8"/>
      <c r="M117" s="8"/>
      <c r="N117" s="8"/>
      <c r="O117" s="9"/>
      <c r="P117" s="8"/>
      <c r="Q117" s="8"/>
      <c r="R117" s="8">
        <f t="shared" si="22"/>
        <v>6552</v>
      </c>
      <c r="S117" s="8"/>
      <c r="T117" s="8"/>
      <c r="U117" s="8"/>
      <c r="V117" s="8"/>
      <c r="W117" s="8"/>
      <c r="X117" s="8"/>
      <c r="Y117" s="8"/>
      <c r="Z117" s="8"/>
      <c r="AA117" s="12"/>
      <c r="AB117" s="7">
        <f t="shared" si="25"/>
        <v>0</v>
      </c>
      <c r="AC117" s="108">
        <f t="shared" si="15"/>
        <v>3412.5839999999998</v>
      </c>
      <c r="AD117" s="105">
        <f t="shared" ref="AD117:AH117" si="28">AD118</f>
        <v>0.71959008097166</v>
      </c>
      <c r="AE117" s="105">
        <f t="shared" si="28"/>
        <v>284.38200000000001</v>
      </c>
      <c r="AF117" s="108">
        <f t="shared" si="16"/>
        <v>4371.192</v>
      </c>
      <c r="AG117" s="105">
        <f t="shared" si="28"/>
        <v>0.69423670668953685</v>
      </c>
      <c r="AH117" s="105">
        <f t="shared" si="28"/>
        <v>364.26600000000002</v>
      </c>
    </row>
    <row r="118" spans="1:34" s="6" customFormat="1" ht="13.5" customHeight="1">
      <c r="A118" s="3" t="s">
        <v>66</v>
      </c>
      <c r="B118" s="2" t="s">
        <v>29</v>
      </c>
      <c r="C118" s="1" t="s">
        <v>197</v>
      </c>
      <c r="D118" s="1" t="s">
        <v>28</v>
      </c>
      <c r="E118" s="8"/>
      <c r="F118" s="8"/>
      <c r="G118" s="8"/>
      <c r="H118" s="8">
        <v>0.5</v>
      </c>
      <c r="I118" s="8">
        <v>1</v>
      </c>
      <c r="J118" s="10">
        <v>1</v>
      </c>
      <c r="K118" s="10">
        <f>H118*I118*J118</f>
        <v>0.5</v>
      </c>
      <c r="L118" s="8"/>
      <c r="M118" s="8"/>
      <c r="N118" s="8">
        <f>25.63*1.18</f>
        <v>30.243399999999998</v>
      </c>
      <c r="O118" s="9">
        <f>N118*K118/12</f>
        <v>1.2601416666666665</v>
      </c>
      <c r="P118" s="8"/>
      <c r="Q118" s="8"/>
      <c r="R118" s="8">
        <f t="shared" si="22"/>
        <v>6552</v>
      </c>
      <c r="S118" s="8"/>
      <c r="T118" s="8"/>
      <c r="U118" s="8"/>
      <c r="V118" s="8"/>
      <c r="W118" s="8"/>
      <c r="X118" s="8"/>
      <c r="Y118" s="8"/>
      <c r="Z118" s="15"/>
      <c r="AA118" s="7">
        <f>O118*(1+Z118)</f>
        <v>1.2601416666666665</v>
      </c>
      <c r="AB118" s="7">
        <f t="shared" si="25"/>
        <v>1.26</v>
      </c>
      <c r="AC118" s="109">
        <f t="shared" si="15"/>
        <v>3412.5839999999998</v>
      </c>
      <c r="AD118" s="104">
        <f>AE118/AD6</f>
        <v>0.71959008097166</v>
      </c>
      <c r="AE118" s="104">
        <f>$AB$118*(AD12+AD13)</f>
        <v>284.38200000000001</v>
      </c>
      <c r="AF118" s="145">
        <f t="shared" si="16"/>
        <v>4371.192</v>
      </c>
      <c r="AG118" s="104">
        <f>AH118/AG6</f>
        <v>0.69423670668953685</v>
      </c>
      <c r="AH118" s="104">
        <f>$AB$118*(AG12+AG13)</f>
        <v>364.26600000000002</v>
      </c>
    </row>
    <row r="119" spans="1:34" s="6" customFormat="1" ht="12">
      <c r="A119" s="13">
        <v>3</v>
      </c>
      <c r="B119" s="20" t="s">
        <v>50</v>
      </c>
      <c r="C119" s="54"/>
      <c r="D119" s="54"/>
      <c r="E119" s="1"/>
      <c r="F119" s="1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>
        <f t="shared" si="22"/>
        <v>6552</v>
      </c>
      <c r="S119" s="8"/>
      <c r="T119" s="8"/>
      <c r="U119" s="8"/>
      <c r="V119" s="8"/>
      <c r="W119" s="8"/>
      <c r="X119" s="8"/>
      <c r="Y119" s="8"/>
      <c r="Z119" s="8"/>
      <c r="AA119" s="12"/>
      <c r="AB119" s="7">
        <f t="shared" si="25"/>
        <v>0</v>
      </c>
      <c r="AC119" s="108">
        <f t="shared" si="15"/>
        <v>34834.171200000012</v>
      </c>
      <c r="AD119" s="105">
        <f>SUM(AD120:AD129)</f>
        <v>7.3452621457489879</v>
      </c>
      <c r="AE119" s="105">
        <f>SUM(AE120:AE129)</f>
        <v>2902.847600000001</v>
      </c>
      <c r="AF119" s="108">
        <f t="shared" si="16"/>
        <v>75457.2264</v>
      </c>
      <c r="AG119" s="105">
        <f>SUM(AG120:AG129)</f>
        <v>11.984185629883743</v>
      </c>
      <c r="AH119" s="105">
        <f>SUM(AH120:AH129)</f>
        <v>6288.1022000000003</v>
      </c>
    </row>
    <row r="120" spans="1:34" s="6" customFormat="1" ht="12" customHeight="1">
      <c r="A120" s="3" t="s">
        <v>227</v>
      </c>
      <c r="B120" s="2" t="s">
        <v>46</v>
      </c>
      <c r="C120" s="1" t="s">
        <v>41</v>
      </c>
      <c r="D120" s="11" t="s">
        <v>39</v>
      </c>
      <c r="E120" s="56">
        <v>0.153</v>
      </c>
      <c r="F120" s="8">
        <v>2</v>
      </c>
      <c r="G120" s="8">
        <f>E120*F120</f>
        <v>0.30599999999999999</v>
      </c>
      <c r="H120" s="8">
        <v>2</v>
      </c>
      <c r="I120" s="9">
        <f>52/12</f>
        <v>4.333333333333333</v>
      </c>
      <c r="J120" s="10">
        <v>12</v>
      </c>
      <c r="K120" s="10">
        <f>H120*I120*J120</f>
        <v>104</v>
      </c>
      <c r="L120" s="19">
        <f>G120*K120/60</f>
        <v>0.53039999999999998</v>
      </c>
      <c r="M120" s="19"/>
      <c r="N120" s="19"/>
      <c r="O120" s="19"/>
      <c r="P120" s="19">
        <f t="shared" ref="P120:P129" si="29">40*(52-8)</f>
        <v>1760</v>
      </c>
      <c r="Q120" s="18">
        <f>L120/P120</f>
        <v>3.0136363636363634E-4</v>
      </c>
      <c r="R120" s="8">
        <f t="shared" si="22"/>
        <v>6552</v>
      </c>
      <c r="S120" s="8">
        <v>1</v>
      </c>
      <c r="T120" s="8">
        <v>1</v>
      </c>
      <c r="U120" s="17">
        <v>0.5</v>
      </c>
      <c r="V120" s="8">
        <f>R120*T120*(1+U120)*2.6</f>
        <v>25552.799999999999</v>
      </c>
      <c r="W120" s="15">
        <v>0.3</v>
      </c>
      <c r="X120" s="15">
        <v>0.1</v>
      </c>
      <c r="Y120" s="15">
        <v>0.1</v>
      </c>
      <c r="Z120" s="15"/>
      <c r="AA120" s="7">
        <f>Q120*V120*(1+W120+X120)*(1+Y120)*(1+Z120)</f>
        <v>11.859054480000001</v>
      </c>
      <c r="AB120" s="7">
        <f>ROUND(AA120,2)</f>
        <v>11.86</v>
      </c>
      <c r="AC120" s="109">
        <f>AE120*12</f>
        <v>754.29599999999994</v>
      </c>
      <c r="AD120" s="104">
        <f>AE120/AD$6</f>
        <v>0.15905364372469635</v>
      </c>
      <c r="AE120" s="104">
        <f>$AB120*AD$15</f>
        <v>62.857999999999997</v>
      </c>
      <c r="AF120" s="145">
        <f>AH120*12</f>
        <v>8098.0079999999998</v>
      </c>
      <c r="AG120" s="104">
        <f>AH120/AG$6</f>
        <v>1.286133028397179</v>
      </c>
      <c r="AH120" s="104">
        <f>$AB120*AG$15</f>
        <v>674.83399999999995</v>
      </c>
    </row>
    <row r="121" spans="1:34" s="6" customFormat="1" ht="12" customHeight="1">
      <c r="A121" s="3" t="s">
        <v>228</v>
      </c>
      <c r="B121" s="2" t="s">
        <v>192</v>
      </c>
      <c r="C121" s="1" t="s">
        <v>41</v>
      </c>
      <c r="D121" s="11" t="s">
        <v>37</v>
      </c>
      <c r="E121" s="56">
        <v>0.08</v>
      </c>
      <c r="F121" s="8">
        <v>1</v>
      </c>
      <c r="G121" s="8">
        <f t="shared" ref="G121:G126" si="30">E121*F121</f>
        <v>0.08</v>
      </c>
      <c r="H121" s="8">
        <v>2</v>
      </c>
      <c r="I121" s="9">
        <f>52/12</f>
        <v>4.333333333333333</v>
      </c>
      <c r="J121" s="10">
        <v>5</v>
      </c>
      <c r="K121" s="10">
        <f t="shared" ref="K121:K126" si="31">H121*I121*J121</f>
        <v>43.333333333333329</v>
      </c>
      <c r="L121" s="19">
        <f t="shared" ref="L121:L126" si="32">G121*K121/60</f>
        <v>5.7777777777777775E-2</v>
      </c>
      <c r="M121" s="19"/>
      <c r="N121" s="19"/>
      <c r="O121" s="19"/>
      <c r="P121" s="19">
        <f t="shared" si="29"/>
        <v>1760</v>
      </c>
      <c r="Q121" s="18">
        <f t="shared" ref="Q121:Q126" si="33">L121/P121</f>
        <v>3.2828282828282826E-5</v>
      </c>
      <c r="R121" s="8">
        <f t="shared" si="22"/>
        <v>6552</v>
      </c>
      <c r="S121" s="8">
        <v>1</v>
      </c>
      <c r="T121" s="8">
        <v>1</v>
      </c>
      <c r="U121" s="17">
        <v>0.5</v>
      </c>
      <c r="V121" s="8">
        <f t="shared" ref="V121:V126" si="34">R121*T121*(1+U121)*2.6</f>
        <v>25552.799999999999</v>
      </c>
      <c r="W121" s="15">
        <v>0.3</v>
      </c>
      <c r="X121" s="15">
        <v>0.1</v>
      </c>
      <c r="Y121" s="15">
        <v>0.1</v>
      </c>
      <c r="Z121" s="15"/>
      <c r="AA121" s="7">
        <f t="shared" ref="AA121:AA126" si="35">Q121*V121*(1+W121+X121)*(1+Y121)*(1+Z121)</f>
        <v>1.2918360000000002</v>
      </c>
      <c r="AB121" s="7">
        <f t="shared" si="25"/>
        <v>1.29</v>
      </c>
      <c r="AC121" s="109">
        <f t="shared" si="15"/>
        <v>82.043999999999997</v>
      </c>
      <c r="AD121" s="104">
        <f t="shared" ref="AD121:AD126" si="36">AE121/AD$6</f>
        <v>1.7300101214574898E-2</v>
      </c>
      <c r="AE121" s="104">
        <f>$AB121*AD$15</f>
        <v>6.8369999999999997</v>
      </c>
      <c r="AF121" s="145">
        <f t="shared" ref="AF121:AF122" si="37">AH121*12</f>
        <v>880.8119999999999</v>
      </c>
      <c r="AG121" s="104">
        <f t="shared" ref="AG121:AG122" si="38">AH121/AG$6</f>
        <v>0.13989136649514006</v>
      </c>
      <c r="AH121" s="104">
        <f>$AB121*AG$15</f>
        <v>73.400999999999996</v>
      </c>
    </row>
    <row r="122" spans="1:34" s="6" customFormat="1" ht="12" customHeight="1">
      <c r="A122" s="3" t="s">
        <v>229</v>
      </c>
      <c r="B122" s="2" t="s">
        <v>193</v>
      </c>
      <c r="C122" s="1" t="s">
        <v>40</v>
      </c>
      <c r="D122" s="11" t="s">
        <v>37</v>
      </c>
      <c r="E122" s="55">
        <v>0.14000000000000001</v>
      </c>
      <c r="F122" s="8">
        <v>1</v>
      </c>
      <c r="G122" s="8">
        <f t="shared" si="30"/>
        <v>0.14000000000000001</v>
      </c>
      <c r="H122" s="8">
        <v>3.5</v>
      </c>
      <c r="I122" s="9">
        <f>52/12</f>
        <v>4.333333333333333</v>
      </c>
      <c r="J122" s="10">
        <v>7</v>
      </c>
      <c r="K122" s="10">
        <f t="shared" si="31"/>
        <v>106.16666666666666</v>
      </c>
      <c r="L122" s="19">
        <f t="shared" si="32"/>
        <v>0.24772222222222223</v>
      </c>
      <c r="M122" s="19"/>
      <c r="N122" s="19"/>
      <c r="O122" s="19"/>
      <c r="P122" s="19">
        <f t="shared" si="29"/>
        <v>1760</v>
      </c>
      <c r="Q122" s="18">
        <f t="shared" si="33"/>
        <v>1.4075126262626264E-4</v>
      </c>
      <c r="R122" s="8">
        <f t="shared" si="22"/>
        <v>6552</v>
      </c>
      <c r="S122" s="8">
        <v>1</v>
      </c>
      <c r="T122" s="8">
        <v>1</v>
      </c>
      <c r="U122" s="17">
        <v>0.5</v>
      </c>
      <c r="V122" s="8">
        <f t="shared" si="34"/>
        <v>25552.799999999999</v>
      </c>
      <c r="W122" s="15">
        <v>0.3</v>
      </c>
      <c r="X122" s="15">
        <v>0.1</v>
      </c>
      <c r="Y122" s="15">
        <v>0.1</v>
      </c>
      <c r="Z122" s="15"/>
      <c r="AA122" s="7">
        <f t="shared" si="35"/>
        <v>5.5387468500000017</v>
      </c>
      <c r="AB122" s="7">
        <f t="shared" si="25"/>
        <v>5.54</v>
      </c>
      <c r="AC122" s="109">
        <f t="shared" si="15"/>
        <v>352.34399999999999</v>
      </c>
      <c r="AD122" s="104">
        <f t="shared" si="36"/>
        <v>7.4296558704453439E-2</v>
      </c>
      <c r="AE122" s="104">
        <f>$AB122*AD$15</f>
        <v>29.361999999999998</v>
      </c>
      <c r="AF122" s="145">
        <f t="shared" si="37"/>
        <v>3782.712</v>
      </c>
      <c r="AG122" s="104">
        <f t="shared" si="38"/>
        <v>0.60077377549075661</v>
      </c>
      <c r="AH122" s="104">
        <f>$AB122*AG$15</f>
        <v>315.226</v>
      </c>
    </row>
    <row r="123" spans="1:34" s="6" customFormat="1" ht="22.5">
      <c r="A123" s="3" t="s">
        <v>230</v>
      </c>
      <c r="B123" s="2" t="s">
        <v>38</v>
      </c>
      <c r="C123" s="1" t="s">
        <v>136</v>
      </c>
      <c r="D123" s="11" t="s">
        <v>37</v>
      </c>
      <c r="E123" s="55">
        <v>0.61</v>
      </c>
      <c r="F123" s="8">
        <v>1</v>
      </c>
      <c r="G123" s="8">
        <f>E123*F123</f>
        <v>0.61</v>
      </c>
      <c r="H123" s="8">
        <v>1.5</v>
      </c>
      <c r="I123" s="9">
        <f>52/12</f>
        <v>4.333333333333333</v>
      </c>
      <c r="J123" s="10">
        <v>7</v>
      </c>
      <c r="K123" s="10">
        <f>H123*I123*J123</f>
        <v>45.5</v>
      </c>
      <c r="L123" s="19">
        <f>G123*K123/60</f>
        <v>0.46258333333333329</v>
      </c>
      <c r="M123" s="19"/>
      <c r="N123" s="19"/>
      <c r="O123" s="19"/>
      <c r="P123" s="19">
        <f t="shared" si="29"/>
        <v>1760</v>
      </c>
      <c r="Q123" s="18">
        <f>L123/P123</f>
        <v>2.6283143939393936E-4</v>
      </c>
      <c r="R123" s="8">
        <f t="shared" si="22"/>
        <v>6552</v>
      </c>
      <c r="S123" s="8">
        <v>1</v>
      </c>
      <c r="T123" s="8">
        <v>1</v>
      </c>
      <c r="U123" s="17">
        <v>0.5</v>
      </c>
      <c r="V123" s="8">
        <f>R123*T123*(1+U123)*2.6</f>
        <v>25552.799999999999</v>
      </c>
      <c r="W123" s="15">
        <v>0.3</v>
      </c>
      <c r="X123" s="15">
        <v>0.1</v>
      </c>
      <c r="Y123" s="15">
        <v>0.1</v>
      </c>
      <c r="Z123" s="15"/>
      <c r="AA123" s="7">
        <f>Q123*V123*(1+W123+X123)*(1+Y123)*(1+Z123)</f>
        <v>10.342761975</v>
      </c>
      <c r="AB123" s="7">
        <f>ROUND(AA123,2)</f>
        <v>10.34</v>
      </c>
      <c r="AC123" s="109">
        <f>AE123*12</f>
        <v>657.62400000000002</v>
      </c>
      <c r="AD123" s="104">
        <f>AE123/AD$6</f>
        <v>0.13866902834008096</v>
      </c>
      <c r="AE123" s="104">
        <f>$AB123*AD$15</f>
        <v>54.802</v>
      </c>
      <c r="AF123" s="145">
        <f>AH123*12</f>
        <v>7060.152</v>
      </c>
      <c r="AG123" s="104">
        <f>AH123/AG$6</f>
        <v>1.1212997903563939</v>
      </c>
      <c r="AH123" s="104">
        <f>$AB123*AG$15</f>
        <v>588.346</v>
      </c>
    </row>
    <row r="124" spans="1:34" s="6" customFormat="1" ht="24">
      <c r="A124" s="3" t="s">
        <v>231</v>
      </c>
      <c r="B124" s="2" t="s">
        <v>195</v>
      </c>
      <c r="C124" s="1" t="s">
        <v>36</v>
      </c>
      <c r="D124" s="11" t="s">
        <v>35</v>
      </c>
      <c r="E124" s="8">
        <f>1/M124*60</f>
        <v>0.3</v>
      </c>
      <c r="F124" s="8">
        <v>1</v>
      </c>
      <c r="G124" s="8">
        <f>E124*F124</f>
        <v>0.3</v>
      </c>
      <c r="H124" s="8">
        <v>6</v>
      </c>
      <c r="I124" s="8">
        <v>1</v>
      </c>
      <c r="J124" s="10">
        <v>1</v>
      </c>
      <c r="K124" s="10">
        <f>H124*I124*J124</f>
        <v>6</v>
      </c>
      <c r="L124" s="9">
        <f>G124*K124/60</f>
        <v>2.9999999999999995E-2</v>
      </c>
      <c r="M124" s="8">
        <v>200</v>
      </c>
      <c r="N124" s="8">
        <f>1800+1850</f>
        <v>3650</v>
      </c>
      <c r="O124" s="9">
        <f>L124*N124/12</f>
        <v>9.1249999999999982</v>
      </c>
      <c r="P124" s="8"/>
      <c r="Q124" s="8"/>
      <c r="R124" s="8">
        <f t="shared" si="22"/>
        <v>6552</v>
      </c>
      <c r="S124" s="8"/>
      <c r="T124" s="8"/>
      <c r="U124" s="8"/>
      <c r="V124" s="8"/>
      <c r="W124" s="8"/>
      <c r="X124" s="8"/>
      <c r="Y124" s="8"/>
      <c r="Z124" s="15"/>
      <c r="AA124" s="7">
        <f>O124*(1+Z124)</f>
        <v>9.1249999999999982</v>
      </c>
      <c r="AB124" s="7">
        <f>ROUND(AA124,2)</f>
        <v>9.1300000000000008</v>
      </c>
      <c r="AC124" s="109">
        <f>AE124*12</f>
        <v>24129.494400000003</v>
      </c>
      <c r="AD124" s="104">
        <f>AE124/AD$6</f>
        <v>5.0880344129554667</v>
      </c>
      <c r="AE124" s="104">
        <f>$AB124*AD$16</f>
        <v>2010.7912000000003</v>
      </c>
      <c r="AF124" s="145">
        <f>AH124*12</f>
        <v>31654.075200000003</v>
      </c>
      <c r="AG124" s="104">
        <f>AH124/AG$6</f>
        <v>5.0273291404612159</v>
      </c>
      <c r="AH124" s="104">
        <f>$AB124*AG$16</f>
        <v>2637.8396000000002</v>
      </c>
    </row>
    <row r="125" spans="1:34" s="6" customFormat="1" ht="24">
      <c r="A125" s="3" t="s">
        <v>232</v>
      </c>
      <c r="B125" s="2" t="s">
        <v>196</v>
      </c>
      <c r="C125" s="1" t="s">
        <v>136</v>
      </c>
      <c r="D125" s="11" t="s">
        <v>39</v>
      </c>
      <c r="E125" s="55">
        <f>4.25</f>
        <v>4.25</v>
      </c>
      <c r="F125" s="8">
        <v>2</v>
      </c>
      <c r="G125" s="8">
        <f t="shared" si="30"/>
        <v>8.5</v>
      </c>
      <c r="H125" s="8">
        <v>1</v>
      </c>
      <c r="I125" s="9">
        <v>1</v>
      </c>
      <c r="J125" s="10">
        <v>7</v>
      </c>
      <c r="K125" s="10">
        <f t="shared" si="31"/>
        <v>7</v>
      </c>
      <c r="L125" s="19">
        <f t="shared" si="32"/>
        <v>0.9916666666666667</v>
      </c>
      <c r="M125" s="19"/>
      <c r="N125" s="19"/>
      <c r="O125" s="19"/>
      <c r="P125" s="19">
        <f t="shared" si="29"/>
        <v>1760</v>
      </c>
      <c r="Q125" s="18">
        <f t="shared" si="33"/>
        <v>5.6344696969696975E-4</v>
      </c>
      <c r="R125" s="8">
        <f t="shared" si="22"/>
        <v>6552</v>
      </c>
      <c r="S125" s="8">
        <v>1</v>
      </c>
      <c r="T125" s="8">
        <v>1</v>
      </c>
      <c r="U125" s="17">
        <v>0.5</v>
      </c>
      <c r="V125" s="8">
        <f t="shared" si="34"/>
        <v>25552.799999999999</v>
      </c>
      <c r="W125" s="15">
        <v>0.3</v>
      </c>
      <c r="X125" s="15">
        <v>0.1</v>
      </c>
      <c r="Y125" s="15">
        <v>0.1</v>
      </c>
      <c r="Z125" s="15"/>
      <c r="AA125" s="7">
        <f t="shared" si="35"/>
        <v>22.172377500000003</v>
      </c>
      <c r="AB125" s="7">
        <f t="shared" si="25"/>
        <v>22.17</v>
      </c>
      <c r="AC125" s="109">
        <f t="shared" si="15"/>
        <v>1410.0120000000002</v>
      </c>
      <c r="AD125" s="104">
        <f t="shared" si="36"/>
        <v>0.29732034412955466</v>
      </c>
      <c r="AE125" s="104">
        <f>$AB125*AD$15</f>
        <v>117.501</v>
      </c>
      <c r="AF125" s="145">
        <f t="shared" ref="AF125:AF126" si="39">AH125*12</f>
        <v>15137.675999999999</v>
      </c>
      <c r="AG125" s="104">
        <f t="shared" ref="AG125:AG126" si="40">AH125/AG$6</f>
        <v>2.4041795311606631</v>
      </c>
      <c r="AH125" s="104">
        <f>$AB125*AG$15</f>
        <v>1261.473</v>
      </c>
    </row>
    <row r="126" spans="1:34" s="6" customFormat="1" ht="22.5">
      <c r="A126" s="3" t="s">
        <v>233</v>
      </c>
      <c r="B126" s="2" t="s">
        <v>194</v>
      </c>
      <c r="C126" s="1" t="s">
        <v>136</v>
      </c>
      <c r="D126" s="11" t="s">
        <v>37</v>
      </c>
      <c r="E126" s="55">
        <v>0.13</v>
      </c>
      <c r="F126" s="8">
        <v>1</v>
      </c>
      <c r="G126" s="8">
        <f t="shared" si="30"/>
        <v>0.13</v>
      </c>
      <c r="H126" s="8">
        <v>1.5</v>
      </c>
      <c r="I126" s="9">
        <v>1</v>
      </c>
      <c r="J126" s="10">
        <v>7</v>
      </c>
      <c r="K126" s="10">
        <f t="shared" si="31"/>
        <v>10.5</v>
      </c>
      <c r="L126" s="19">
        <f t="shared" si="32"/>
        <v>2.2749999999999999E-2</v>
      </c>
      <c r="M126" s="19"/>
      <c r="N126" s="19"/>
      <c r="O126" s="19"/>
      <c r="P126" s="19">
        <f t="shared" si="29"/>
        <v>1760</v>
      </c>
      <c r="Q126" s="18">
        <f t="shared" si="33"/>
        <v>1.2926136363636364E-5</v>
      </c>
      <c r="R126" s="8">
        <f t="shared" si="22"/>
        <v>6552</v>
      </c>
      <c r="S126" s="8">
        <v>1</v>
      </c>
      <c r="T126" s="8">
        <v>1</v>
      </c>
      <c r="U126" s="17">
        <v>0.5</v>
      </c>
      <c r="V126" s="8">
        <f t="shared" si="34"/>
        <v>25552.799999999999</v>
      </c>
      <c r="W126" s="15">
        <v>0.3</v>
      </c>
      <c r="X126" s="15">
        <v>5.88</v>
      </c>
      <c r="Y126" s="15">
        <v>0.1</v>
      </c>
      <c r="Z126" s="15"/>
      <c r="AA126" s="7">
        <f t="shared" si="35"/>
        <v>2.6087013225</v>
      </c>
      <c r="AB126" s="7">
        <f t="shared" si="25"/>
        <v>2.61</v>
      </c>
      <c r="AC126" s="109">
        <f t="shared" si="15"/>
        <v>165.99599999999998</v>
      </c>
      <c r="AD126" s="104">
        <f t="shared" si="36"/>
        <v>3.5002530364372467E-2</v>
      </c>
      <c r="AE126" s="104">
        <f>$AB126*AD$15</f>
        <v>13.832999999999998</v>
      </c>
      <c r="AF126" s="145">
        <f t="shared" si="39"/>
        <v>1782.1079999999997</v>
      </c>
      <c r="AG126" s="104">
        <f t="shared" si="40"/>
        <v>0.28303602058319033</v>
      </c>
      <c r="AH126" s="104">
        <f>$AB126*AG$15</f>
        <v>148.50899999999999</v>
      </c>
    </row>
    <row r="127" spans="1:34" s="6" customFormat="1" ht="12" customHeight="1">
      <c r="A127" s="3" t="s">
        <v>234</v>
      </c>
      <c r="B127" s="2" t="s">
        <v>45</v>
      </c>
      <c r="C127" s="1" t="s">
        <v>44</v>
      </c>
      <c r="D127" s="11" t="s">
        <v>42</v>
      </c>
      <c r="E127" s="56">
        <v>4.88</v>
      </c>
      <c r="F127" s="57">
        <v>1</v>
      </c>
      <c r="G127" s="8">
        <f>E127*F127</f>
        <v>4.88</v>
      </c>
      <c r="H127" s="8">
        <v>5</v>
      </c>
      <c r="I127" s="9">
        <f>52/12</f>
        <v>4.333333333333333</v>
      </c>
      <c r="J127" s="10">
        <v>12</v>
      </c>
      <c r="K127" s="10">
        <f>H127*I127*J127</f>
        <v>260</v>
      </c>
      <c r="L127" s="19">
        <f>G127*K127/60</f>
        <v>21.146666666666665</v>
      </c>
      <c r="M127" s="19"/>
      <c r="N127" s="19"/>
      <c r="O127" s="19"/>
      <c r="P127" s="19">
        <f t="shared" si="29"/>
        <v>1760</v>
      </c>
      <c r="Q127" s="18">
        <f>L127/P127</f>
        <v>1.2015151515151513E-2</v>
      </c>
      <c r="R127" s="8">
        <f t="shared" si="22"/>
        <v>6552</v>
      </c>
      <c r="S127" s="8">
        <v>1</v>
      </c>
      <c r="T127" s="8">
        <v>1</v>
      </c>
      <c r="U127" s="17">
        <v>0.5</v>
      </c>
      <c r="V127" s="8">
        <f>R127*T127*(1+U127)*2.6</f>
        <v>25552.799999999999</v>
      </c>
      <c r="W127" s="15">
        <v>0.3</v>
      </c>
      <c r="X127" s="15">
        <v>0.1</v>
      </c>
      <c r="Y127" s="15">
        <v>0.1</v>
      </c>
      <c r="Z127" s="15"/>
      <c r="AA127" s="7">
        <f>Q127*V127*(1+W127+X127)*(1+Y127)*(1+Z127)</f>
        <v>472.81197600000002</v>
      </c>
      <c r="AB127" s="7">
        <f>ROUND(AA127,2)</f>
        <v>472.81</v>
      </c>
      <c r="AC127" s="109">
        <f>AE127*12</f>
        <v>0</v>
      </c>
      <c r="AD127" s="104">
        <f>AE127/AD$6</f>
        <v>0</v>
      </c>
      <c r="AE127" s="104">
        <f>$AB127*AD$24</f>
        <v>0</v>
      </c>
      <c r="AF127" s="145">
        <f>AH127*12</f>
        <v>0</v>
      </c>
      <c r="AG127" s="104">
        <f>AH127/AG$6</f>
        <v>0</v>
      </c>
      <c r="AH127" s="104">
        <f>$AB127*AG$24</f>
        <v>0</v>
      </c>
    </row>
    <row r="128" spans="1:34" s="6" customFormat="1" ht="12">
      <c r="A128" s="3" t="s">
        <v>235</v>
      </c>
      <c r="B128" s="2" t="s">
        <v>43</v>
      </c>
      <c r="C128" s="1" t="s">
        <v>198</v>
      </c>
      <c r="D128" s="11" t="s">
        <v>42</v>
      </c>
      <c r="E128" s="56">
        <v>6.75</v>
      </c>
      <c r="F128" s="57">
        <v>1</v>
      </c>
      <c r="G128" s="8">
        <f>E128*F128</f>
        <v>6.75</v>
      </c>
      <c r="H128" s="8">
        <v>2</v>
      </c>
      <c r="I128" s="10">
        <v>1</v>
      </c>
      <c r="J128" s="10">
        <v>5</v>
      </c>
      <c r="K128" s="10">
        <f>H128*I128*J128</f>
        <v>10</v>
      </c>
      <c r="L128" s="19">
        <f>G128*K128/60</f>
        <v>1.125</v>
      </c>
      <c r="M128" s="19"/>
      <c r="N128" s="19"/>
      <c r="O128" s="19"/>
      <c r="P128" s="19">
        <f t="shared" si="29"/>
        <v>1760</v>
      </c>
      <c r="Q128" s="18">
        <f>L128/P128</f>
        <v>6.3920454545454545E-4</v>
      </c>
      <c r="R128" s="8">
        <f t="shared" si="22"/>
        <v>6552</v>
      </c>
      <c r="S128" s="8">
        <v>1</v>
      </c>
      <c r="T128" s="8">
        <v>1</v>
      </c>
      <c r="U128" s="17">
        <v>0.5</v>
      </c>
      <c r="V128" s="8">
        <f>R128*T128*(1+U128)*2.6</f>
        <v>25552.799999999999</v>
      </c>
      <c r="W128" s="15">
        <v>0.3</v>
      </c>
      <c r="X128" s="15">
        <v>0.1</v>
      </c>
      <c r="Y128" s="15">
        <v>0.1</v>
      </c>
      <c r="Z128" s="15"/>
      <c r="AA128" s="7">
        <f>Q128*V128*(1+W128+X128)*(1+Y128)*(1+Z128)</f>
        <v>25.153537500000002</v>
      </c>
      <c r="AB128" s="7">
        <f>ROUND(AA128,2)</f>
        <v>25.15</v>
      </c>
      <c r="AC128" s="109">
        <f>AE128*12</f>
        <v>0</v>
      </c>
      <c r="AD128" s="104">
        <f>AE128/AD$6</f>
        <v>0</v>
      </c>
      <c r="AE128" s="104">
        <f>$AB128*AD$24</f>
        <v>0</v>
      </c>
      <c r="AF128" s="145">
        <f>AH128*12</f>
        <v>0</v>
      </c>
      <c r="AG128" s="104">
        <f>AH128/AG$6</f>
        <v>0</v>
      </c>
      <c r="AH128" s="104">
        <f>$AB128*AG$24</f>
        <v>0</v>
      </c>
    </row>
    <row r="129" spans="1:34" s="6" customFormat="1" ht="12" customHeight="1">
      <c r="A129" s="3" t="s">
        <v>236</v>
      </c>
      <c r="B129" s="2" t="s">
        <v>49</v>
      </c>
      <c r="C129" s="1" t="s">
        <v>44</v>
      </c>
      <c r="D129" s="11" t="s">
        <v>47</v>
      </c>
      <c r="E129" s="55">
        <v>1.46</v>
      </c>
      <c r="F129" s="8">
        <v>1</v>
      </c>
      <c r="G129" s="8">
        <f>E129*F129</f>
        <v>1.46</v>
      </c>
      <c r="H129" s="8">
        <v>5</v>
      </c>
      <c r="I129" s="9">
        <f>52/12</f>
        <v>4.333333333333333</v>
      </c>
      <c r="J129" s="10">
        <v>12</v>
      </c>
      <c r="K129" s="10">
        <f>H129*I129*J129</f>
        <v>260</v>
      </c>
      <c r="L129" s="19">
        <f>G129*K129/60</f>
        <v>6.3266666666666662</v>
      </c>
      <c r="M129" s="19"/>
      <c r="N129" s="19"/>
      <c r="O129" s="19"/>
      <c r="P129" s="19">
        <f t="shared" si="29"/>
        <v>1760</v>
      </c>
      <c r="Q129" s="18">
        <f>L129/P129</f>
        <v>3.5946969696969695E-3</v>
      </c>
      <c r="R129" s="8">
        <f t="shared" si="22"/>
        <v>6552</v>
      </c>
      <c r="S129" s="8">
        <v>1</v>
      </c>
      <c r="T129" s="8">
        <v>1</v>
      </c>
      <c r="U129" s="17">
        <v>0.5</v>
      </c>
      <c r="V129" s="8">
        <f>R129*T129*(1+U129)*2.6</f>
        <v>25552.799999999999</v>
      </c>
      <c r="W129" s="15">
        <v>0.3</v>
      </c>
      <c r="X129" s="15">
        <v>0.1</v>
      </c>
      <c r="Y129" s="15">
        <v>0.1</v>
      </c>
      <c r="Z129" s="15"/>
      <c r="AA129" s="7">
        <f>Q129*V129*(1+W129+X129)*(1+Y129)*(1+Z129)</f>
        <v>141.45604200000002</v>
      </c>
      <c r="AB129" s="7">
        <f>ROUND(AA129,2)</f>
        <v>141.46</v>
      </c>
      <c r="AC129" s="109">
        <f>AE129*12</f>
        <v>7282.3608000000004</v>
      </c>
      <c r="AD129" s="104">
        <f>AE129/AD$6</f>
        <v>1.5355855263157896</v>
      </c>
      <c r="AE129" s="104">
        <f>$AB129*AD$17</f>
        <v>606.86340000000007</v>
      </c>
      <c r="AF129" s="145">
        <f>AH129*12</f>
        <v>7061.6832000000004</v>
      </c>
      <c r="AG129" s="104">
        <f>AH129/AG$6</f>
        <v>1.1215429769392034</v>
      </c>
      <c r="AH129" s="104">
        <f>$AB129*AG$17</f>
        <v>588.47360000000003</v>
      </c>
    </row>
    <row r="130" spans="1:34" s="6" customFormat="1" ht="12">
      <c r="A130" s="13" t="s">
        <v>34</v>
      </c>
      <c r="B130" s="20" t="s">
        <v>259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7">
        <f t="shared" si="25"/>
        <v>0</v>
      </c>
      <c r="AC130" s="108">
        <f t="shared" si="15"/>
        <v>84214.080000000002</v>
      </c>
      <c r="AD130" s="105">
        <f t="shared" ref="AD130:AH130" si="41">AD131</f>
        <v>17.757692307692309</v>
      </c>
      <c r="AE130" s="105">
        <f t="shared" si="41"/>
        <v>7017.84</v>
      </c>
      <c r="AF130" s="108">
        <f t="shared" ref="AF130:AF139" si="42">AH130*12</f>
        <v>63160.56</v>
      </c>
      <c r="AG130" s="105">
        <f t="shared" si="41"/>
        <v>10.031217838765007</v>
      </c>
      <c r="AH130" s="105">
        <f t="shared" si="41"/>
        <v>5263.38</v>
      </c>
    </row>
    <row r="131" spans="1:34" s="6" customFormat="1" ht="24">
      <c r="A131" s="5" t="s">
        <v>33</v>
      </c>
      <c r="B131" s="2" t="s">
        <v>32</v>
      </c>
      <c r="C131" s="1" t="s">
        <v>136</v>
      </c>
      <c r="D131" s="11" t="s">
        <v>31</v>
      </c>
      <c r="E131" s="8">
        <f>1/M131*60</f>
        <v>6</v>
      </c>
      <c r="F131" s="8">
        <v>1</v>
      </c>
      <c r="G131" s="8">
        <f>E131*F131</f>
        <v>6</v>
      </c>
      <c r="H131" s="8">
        <v>2.66</v>
      </c>
      <c r="I131" s="8">
        <v>1</v>
      </c>
      <c r="J131" s="10">
        <v>1</v>
      </c>
      <c r="K131" s="148">
        <v>2.69</v>
      </c>
      <c r="L131" s="9">
        <f>G131*K131/60</f>
        <v>0.26900000000000002</v>
      </c>
      <c r="M131" s="8">
        <v>10</v>
      </c>
      <c r="N131" s="149">
        <f>(535.18+78.95)*1.18</f>
        <v>724.6733999999999</v>
      </c>
      <c r="O131" s="9">
        <f>L131*N131</f>
        <v>194.93714459999998</v>
      </c>
      <c r="P131" s="8"/>
      <c r="Q131" s="8"/>
      <c r="R131" s="8">
        <f>R$139</f>
        <v>6552</v>
      </c>
      <c r="S131" s="8"/>
      <c r="T131" s="8"/>
      <c r="U131" s="8"/>
      <c r="V131" s="8"/>
      <c r="W131" s="8"/>
      <c r="X131" s="8"/>
      <c r="Y131" s="8"/>
      <c r="Z131" s="15"/>
      <c r="AA131" s="7">
        <f>O131*(1+Z131)</f>
        <v>194.93714459999998</v>
      </c>
      <c r="AB131" s="7">
        <f t="shared" si="25"/>
        <v>194.94</v>
      </c>
      <c r="AC131" s="109">
        <f t="shared" si="15"/>
        <v>84214.080000000002</v>
      </c>
      <c r="AD131" s="104">
        <f>AE131/AD$6</f>
        <v>17.757692307692309</v>
      </c>
      <c r="AE131" s="104">
        <f>$AB131*AD$27</f>
        <v>7017.84</v>
      </c>
      <c r="AF131" s="145">
        <f t="shared" si="42"/>
        <v>63160.56</v>
      </c>
      <c r="AG131" s="104">
        <f>AH131/AG$6</f>
        <v>10.031217838765007</v>
      </c>
      <c r="AH131" s="104">
        <f>$AB131*AG$27</f>
        <v>5263.38</v>
      </c>
    </row>
    <row r="132" spans="1:34" s="138" customFormat="1" ht="52.5" customHeight="1">
      <c r="A132" s="5" t="s">
        <v>243</v>
      </c>
      <c r="B132" s="2" t="s">
        <v>258</v>
      </c>
      <c r="C132" s="1" t="s">
        <v>136</v>
      </c>
      <c r="D132" s="146" t="s">
        <v>199</v>
      </c>
      <c r="E132" s="56"/>
      <c r="F132" s="56"/>
      <c r="G132" s="56"/>
      <c r="H132" s="56">
        <v>1</v>
      </c>
      <c r="I132" s="134">
        <v>1</v>
      </c>
      <c r="J132" s="135">
        <v>12</v>
      </c>
      <c r="K132" s="135">
        <f>H132*I132*J132</f>
        <v>12</v>
      </c>
      <c r="L132" s="136">
        <f>1/12</f>
        <v>8.3333333333333329E-2</v>
      </c>
      <c r="M132" s="56"/>
      <c r="N132" s="136">
        <f>(((31+41)/2)*1.18+100)</f>
        <v>142.47999999999999</v>
      </c>
      <c r="O132" s="136">
        <f>L132*N132</f>
        <v>11.873333333333331</v>
      </c>
      <c r="P132" s="56"/>
      <c r="Q132" s="56"/>
      <c r="R132" s="56">
        <v>6552</v>
      </c>
      <c r="S132" s="56"/>
      <c r="T132" s="56"/>
      <c r="U132" s="56"/>
      <c r="V132" s="56"/>
      <c r="W132" s="56"/>
      <c r="X132" s="56"/>
      <c r="Y132" s="56"/>
      <c r="Z132" s="137"/>
      <c r="AA132" s="12">
        <f>O132*(1+Z132)</f>
        <v>11.873333333333331</v>
      </c>
      <c r="AB132" s="12">
        <f t="shared" si="25"/>
        <v>11.87</v>
      </c>
      <c r="AC132" s="108">
        <f t="shared" si="15"/>
        <v>1566.84</v>
      </c>
      <c r="AD132" s="105">
        <f>AE132/AD$6</f>
        <v>0.33038967611336034</v>
      </c>
      <c r="AE132" s="105">
        <f>$AB132*AD$26</f>
        <v>130.57</v>
      </c>
      <c r="AF132" s="108">
        <f t="shared" si="42"/>
        <v>1709.28</v>
      </c>
      <c r="AG132" s="105">
        <f>AH132/AG$6</f>
        <v>0.27146941109205258</v>
      </c>
      <c r="AH132" s="105">
        <f>$AB132*AG$26</f>
        <v>142.44</v>
      </c>
    </row>
    <row r="133" spans="1:34" s="6" customFormat="1" ht="48">
      <c r="A133" s="13" t="s">
        <v>260</v>
      </c>
      <c r="B133" s="58" t="s">
        <v>261</v>
      </c>
      <c r="C133" s="128"/>
      <c r="D133" s="59"/>
      <c r="E133" s="59"/>
      <c r="F133" s="59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>
        <f t="shared" ref="R133:R138" si="43">R$139</f>
        <v>6552</v>
      </c>
      <c r="S133" s="8"/>
      <c r="T133" s="8"/>
      <c r="U133" s="8"/>
      <c r="V133" s="8"/>
      <c r="W133" s="8"/>
      <c r="X133" s="8"/>
      <c r="Y133" s="8"/>
      <c r="Z133" s="8"/>
      <c r="AA133" s="112"/>
      <c r="AB133" s="7">
        <f t="shared" ref="AB133:AB139" si="44">ROUND(AA133,2)</f>
        <v>0</v>
      </c>
      <c r="AC133" s="108">
        <f t="shared" ref="AC133:AC139" si="45">AE133*12</f>
        <v>1517.568</v>
      </c>
      <c r="AD133" s="111">
        <f t="shared" ref="AD133:AE133" si="46">SUM(AD134:AD138)</f>
        <v>0.32</v>
      </c>
      <c r="AE133" s="111">
        <f t="shared" si="46"/>
        <v>126.464</v>
      </c>
      <c r="AF133" s="108">
        <f t="shared" si="42"/>
        <v>4029.6960000000008</v>
      </c>
      <c r="AG133" s="111">
        <f t="shared" ref="AG133:AH133" si="47">SUM(AG134:AG138)</f>
        <v>0.64</v>
      </c>
      <c r="AH133" s="111">
        <f t="shared" si="47"/>
        <v>335.80800000000005</v>
      </c>
    </row>
    <row r="134" spans="1:34" s="6" customFormat="1" ht="12">
      <c r="A134" s="3" t="s">
        <v>216</v>
      </c>
      <c r="B134" s="14" t="s">
        <v>26</v>
      </c>
      <c r="C134" s="1" t="s">
        <v>200</v>
      </c>
      <c r="D134" s="11" t="s">
        <v>0</v>
      </c>
      <c r="E134" s="8"/>
      <c r="F134" s="8"/>
      <c r="G134" s="8"/>
      <c r="H134" s="8"/>
      <c r="I134" s="8"/>
      <c r="J134" s="8"/>
      <c r="K134" s="8"/>
      <c r="L134" s="8"/>
      <c r="M134" s="60">
        <v>500000</v>
      </c>
      <c r="N134" s="8"/>
      <c r="O134" s="8"/>
      <c r="P134" s="8"/>
      <c r="Q134" s="18">
        <f>1/M134</f>
        <v>1.9999999999999999E-6</v>
      </c>
      <c r="R134" s="8">
        <f t="shared" si="43"/>
        <v>6552</v>
      </c>
      <c r="S134" s="8">
        <v>7</v>
      </c>
      <c r="T134" s="8">
        <v>1.84</v>
      </c>
      <c r="U134" s="15">
        <v>0.7</v>
      </c>
      <c r="V134" s="8">
        <f t="shared" ref="V134:V139" si="48">R134*T134*(1+U134)*2.6</f>
        <v>53286.105600000003</v>
      </c>
      <c r="W134" s="15">
        <v>0.3</v>
      </c>
      <c r="X134" s="15">
        <v>0.1</v>
      </c>
      <c r="Y134" s="15">
        <v>0.1</v>
      </c>
      <c r="Z134" s="15"/>
      <c r="AA134" s="7">
        <f t="shared" ref="AA134:AA139" si="49">Q134*V134*(1+W134+X134)*(1+Y134)*(1+Z134)</f>
        <v>0.16412120524800003</v>
      </c>
      <c r="AB134" s="7">
        <f t="shared" si="44"/>
        <v>0.16</v>
      </c>
      <c r="AC134" s="109">
        <f t="shared" si="45"/>
        <v>758.78399999999999</v>
      </c>
      <c r="AD134" s="104">
        <f>IF(AE30=1,$AB134,0)</f>
        <v>0.16</v>
      </c>
      <c r="AE134" s="104">
        <f>AD134*AD$6</f>
        <v>63.231999999999999</v>
      </c>
      <c r="AF134" s="145">
        <f t="shared" si="42"/>
        <v>1007.4240000000002</v>
      </c>
      <c r="AG134" s="104">
        <f>IF(AH30=1,$AB134,0)</f>
        <v>0.16</v>
      </c>
      <c r="AH134" s="104">
        <f>AG134*AG$6</f>
        <v>83.952000000000012</v>
      </c>
    </row>
    <row r="135" spans="1:34" s="6" customFormat="1" ht="12">
      <c r="A135" s="3" t="s">
        <v>217</v>
      </c>
      <c r="B135" s="14" t="s">
        <v>25</v>
      </c>
      <c r="C135" s="1" t="s">
        <v>200</v>
      </c>
      <c r="D135" s="11" t="s">
        <v>0</v>
      </c>
      <c r="E135" s="8"/>
      <c r="F135" s="8"/>
      <c r="G135" s="8"/>
      <c r="H135" s="8"/>
      <c r="I135" s="8"/>
      <c r="J135" s="8"/>
      <c r="K135" s="8"/>
      <c r="L135" s="8"/>
      <c r="M135" s="60">
        <v>500000</v>
      </c>
      <c r="N135" s="8"/>
      <c r="O135" s="8"/>
      <c r="P135" s="8"/>
      <c r="Q135" s="18">
        <f>1/M135</f>
        <v>1.9999999999999999E-6</v>
      </c>
      <c r="R135" s="8">
        <f t="shared" si="43"/>
        <v>6552</v>
      </c>
      <c r="S135" s="8">
        <v>7</v>
      </c>
      <c r="T135" s="8">
        <v>1.84</v>
      </c>
      <c r="U135" s="15">
        <v>0.7</v>
      </c>
      <c r="V135" s="8">
        <f t="shared" si="48"/>
        <v>53286.105600000003</v>
      </c>
      <c r="W135" s="15">
        <v>0.3</v>
      </c>
      <c r="X135" s="15">
        <v>0.1</v>
      </c>
      <c r="Y135" s="15">
        <v>0.1</v>
      </c>
      <c r="Z135" s="15"/>
      <c r="AA135" s="7">
        <f t="shared" si="49"/>
        <v>0.16412120524800003</v>
      </c>
      <c r="AB135" s="7">
        <f t="shared" si="44"/>
        <v>0.16</v>
      </c>
      <c r="AC135" s="109">
        <f t="shared" si="45"/>
        <v>0</v>
      </c>
      <c r="AD135" s="104">
        <f>IF(AE32=1,$AB135,0)</f>
        <v>0</v>
      </c>
      <c r="AE135" s="104">
        <f>AD135*AD$6</f>
        <v>0</v>
      </c>
      <c r="AF135" s="145">
        <f t="shared" si="42"/>
        <v>1007.4240000000002</v>
      </c>
      <c r="AG135" s="104">
        <f>IF(AH32=1,$AB135,0)</f>
        <v>0.16</v>
      </c>
      <c r="AH135" s="104">
        <f>AG135*AG$6</f>
        <v>83.952000000000012</v>
      </c>
    </row>
    <row r="136" spans="1:34" s="6" customFormat="1" ht="12">
      <c r="A136" s="3" t="s">
        <v>218</v>
      </c>
      <c r="B136" s="14" t="s">
        <v>24</v>
      </c>
      <c r="C136" s="1" t="s">
        <v>200</v>
      </c>
      <c r="D136" s="11" t="s">
        <v>0</v>
      </c>
      <c r="E136" s="8"/>
      <c r="F136" s="8"/>
      <c r="G136" s="8"/>
      <c r="H136" s="8"/>
      <c r="I136" s="8"/>
      <c r="J136" s="8"/>
      <c r="K136" s="8"/>
      <c r="L136" s="8"/>
      <c r="M136" s="60">
        <v>500000</v>
      </c>
      <c r="N136" s="8"/>
      <c r="O136" s="8"/>
      <c r="P136" s="8"/>
      <c r="Q136" s="18">
        <f>1/M136</f>
        <v>1.9999999999999999E-6</v>
      </c>
      <c r="R136" s="8">
        <f t="shared" si="43"/>
        <v>6552</v>
      </c>
      <c r="S136" s="8">
        <v>7</v>
      </c>
      <c r="T136" s="8">
        <v>1.84</v>
      </c>
      <c r="U136" s="15">
        <v>0.7</v>
      </c>
      <c r="V136" s="8">
        <f t="shared" si="48"/>
        <v>53286.105600000003</v>
      </c>
      <c r="W136" s="15">
        <v>0.3</v>
      </c>
      <c r="X136" s="15">
        <v>0.1</v>
      </c>
      <c r="Y136" s="15">
        <v>0.1</v>
      </c>
      <c r="Z136" s="15"/>
      <c r="AA136" s="7">
        <f t="shared" si="49"/>
        <v>0.16412120524800003</v>
      </c>
      <c r="AB136" s="7">
        <f t="shared" si="44"/>
        <v>0.16</v>
      </c>
      <c r="AC136" s="109">
        <f t="shared" si="45"/>
        <v>0</v>
      </c>
      <c r="AD136" s="104">
        <f>IF(AE31=1,$AB136,0)</f>
        <v>0</v>
      </c>
      <c r="AE136" s="104">
        <f>AD136*AD$6</f>
        <v>0</v>
      </c>
      <c r="AF136" s="145">
        <f t="shared" si="42"/>
        <v>1007.4240000000002</v>
      </c>
      <c r="AG136" s="104">
        <f>IF(AH31=1,$AB136,0)</f>
        <v>0.16</v>
      </c>
      <c r="AH136" s="104">
        <f>AG136*AG$6</f>
        <v>83.952000000000012</v>
      </c>
    </row>
    <row r="137" spans="1:34" s="6" customFormat="1" ht="12">
      <c r="A137" s="3" t="s">
        <v>219</v>
      </c>
      <c r="B137" s="14" t="s">
        <v>23</v>
      </c>
      <c r="C137" s="1" t="s">
        <v>200</v>
      </c>
      <c r="D137" s="11" t="s">
        <v>0</v>
      </c>
      <c r="E137" s="8"/>
      <c r="F137" s="8"/>
      <c r="G137" s="8"/>
      <c r="H137" s="8"/>
      <c r="I137" s="8"/>
      <c r="J137" s="8"/>
      <c r="K137" s="8"/>
      <c r="L137" s="8"/>
      <c r="M137" s="60">
        <v>500000</v>
      </c>
      <c r="N137" s="8"/>
      <c r="O137" s="8"/>
      <c r="P137" s="8"/>
      <c r="Q137" s="18">
        <f>1/M137</f>
        <v>1.9999999999999999E-6</v>
      </c>
      <c r="R137" s="8">
        <f t="shared" si="43"/>
        <v>6552</v>
      </c>
      <c r="S137" s="8">
        <v>7</v>
      </c>
      <c r="T137" s="8">
        <v>1.84</v>
      </c>
      <c r="U137" s="15">
        <v>0.7</v>
      </c>
      <c r="V137" s="8">
        <f t="shared" si="48"/>
        <v>53286.105600000003</v>
      </c>
      <c r="W137" s="15">
        <v>0.3</v>
      </c>
      <c r="X137" s="15">
        <v>0.1</v>
      </c>
      <c r="Y137" s="15">
        <v>0.1</v>
      </c>
      <c r="Z137" s="15"/>
      <c r="AA137" s="7">
        <f t="shared" si="49"/>
        <v>0.16412120524800003</v>
      </c>
      <c r="AB137" s="7">
        <f t="shared" si="44"/>
        <v>0.16</v>
      </c>
      <c r="AC137" s="109">
        <f t="shared" si="45"/>
        <v>0</v>
      </c>
      <c r="AD137" s="104">
        <f>IF(AE33=1,$AB137,0)</f>
        <v>0</v>
      </c>
      <c r="AE137" s="104">
        <f>AD137*AD$6</f>
        <v>0</v>
      </c>
      <c r="AF137" s="145">
        <f t="shared" si="42"/>
        <v>0</v>
      </c>
      <c r="AG137" s="104">
        <f>IF(AH33=1,$AB137,0)</f>
        <v>0</v>
      </c>
      <c r="AH137" s="104">
        <f>AG137*AG$6</f>
        <v>0</v>
      </c>
    </row>
    <row r="138" spans="1:34" s="6" customFormat="1" ht="13.5" customHeight="1">
      <c r="A138" s="3" t="s">
        <v>220</v>
      </c>
      <c r="B138" s="14" t="s">
        <v>22</v>
      </c>
      <c r="C138" s="1" t="s">
        <v>200</v>
      </c>
      <c r="D138" s="11" t="s">
        <v>0</v>
      </c>
      <c r="E138" s="8"/>
      <c r="F138" s="8"/>
      <c r="G138" s="8"/>
      <c r="H138" s="8"/>
      <c r="I138" s="8"/>
      <c r="J138" s="8"/>
      <c r="K138" s="8"/>
      <c r="L138" s="8"/>
      <c r="M138" s="60">
        <v>500000</v>
      </c>
      <c r="N138" s="8"/>
      <c r="O138" s="8"/>
      <c r="P138" s="8"/>
      <c r="Q138" s="18">
        <f>1/M138</f>
        <v>1.9999999999999999E-6</v>
      </c>
      <c r="R138" s="8">
        <f t="shared" si="43"/>
        <v>6552</v>
      </c>
      <c r="S138" s="8">
        <v>7</v>
      </c>
      <c r="T138" s="8">
        <v>1.84</v>
      </c>
      <c r="U138" s="15">
        <v>0.7</v>
      </c>
      <c r="V138" s="8">
        <f t="shared" si="48"/>
        <v>53286.105600000003</v>
      </c>
      <c r="W138" s="15">
        <v>0.3</v>
      </c>
      <c r="X138" s="15">
        <v>0.1</v>
      </c>
      <c r="Y138" s="15">
        <v>0.1</v>
      </c>
      <c r="Z138" s="15"/>
      <c r="AA138" s="7">
        <f t="shared" si="49"/>
        <v>0.16412120524800003</v>
      </c>
      <c r="AB138" s="7">
        <f t="shared" si="44"/>
        <v>0.16</v>
      </c>
      <c r="AC138" s="109">
        <f t="shared" si="45"/>
        <v>758.78399999999999</v>
      </c>
      <c r="AD138" s="104">
        <f>$AB138</f>
        <v>0.16</v>
      </c>
      <c r="AE138" s="104">
        <f>AD138*AD$6</f>
        <v>63.231999999999999</v>
      </c>
      <c r="AF138" s="145">
        <f t="shared" si="42"/>
        <v>1007.4240000000002</v>
      </c>
      <c r="AG138" s="104">
        <f>$AB138</f>
        <v>0.16</v>
      </c>
      <c r="AH138" s="104">
        <f>AG138*AG$6</f>
        <v>83.952000000000012</v>
      </c>
    </row>
    <row r="139" spans="1:34" s="6" customFormat="1" ht="15" customHeight="1">
      <c r="A139" s="21"/>
      <c r="B139" s="20" t="s">
        <v>262</v>
      </c>
      <c r="C139" s="1" t="s">
        <v>200</v>
      </c>
      <c r="D139" s="11" t="s">
        <v>0</v>
      </c>
      <c r="E139" s="1"/>
      <c r="F139" s="1"/>
      <c r="G139" s="8"/>
      <c r="H139" s="8"/>
      <c r="I139" s="8"/>
      <c r="J139" s="10"/>
      <c r="K139" s="10"/>
      <c r="L139" s="19"/>
      <c r="M139" s="8"/>
      <c r="N139" s="8"/>
      <c r="O139" s="8"/>
      <c r="P139" s="19">
        <f>(36+40)/2*(52-8)</f>
        <v>1672</v>
      </c>
      <c r="Q139" s="18">
        <f>14/140000</f>
        <v>1E-4</v>
      </c>
      <c r="R139" s="8">
        <v>6552</v>
      </c>
      <c r="S139" s="8">
        <v>11</v>
      </c>
      <c r="T139" s="8">
        <v>2.68</v>
      </c>
      <c r="U139" s="17">
        <v>0.4</v>
      </c>
      <c r="V139" s="8">
        <f t="shared" si="48"/>
        <v>63916.070399999997</v>
      </c>
      <c r="W139" s="15">
        <v>0.3</v>
      </c>
      <c r="X139" s="15">
        <v>0.7</v>
      </c>
      <c r="Y139" s="15">
        <v>0.1</v>
      </c>
      <c r="Z139" s="15"/>
      <c r="AA139" s="7">
        <f t="shared" si="49"/>
        <v>14.061535488000002</v>
      </c>
      <c r="AB139" s="7">
        <f t="shared" si="44"/>
        <v>14.06</v>
      </c>
      <c r="AC139" s="108">
        <f t="shared" si="45"/>
        <v>66678.144</v>
      </c>
      <c r="AD139" s="111">
        <f>$AB139</f>
        <v>14.06</v>
      </c>
      <c r="AE139" s="111">
        <f>$AB139*AD$6</f>
        <v>5556.5119999999997</v>
      </c>
      <c r="AF139" s="108">
        <f t="shared" si="42"/>
        <v>88527.38400000002</v>
      </c>
      <c r="AG139" s="111">
        <f>$AB139</f>
        <v>14.06</v>
      </c>
      <c r="AH139" s="111">
        <f>$AB139*AG$6</f>
        <v>7377.2820000000011</v>
      </c>
    </row>
    <row r="140" spans="1:34" ht="18" customHeight="1"/>
    <row r="145" spans="1:34" s="6" customFormat="1" ht="12">
      <c r="A145" s="67"/>
      <c r="B145" s="64"/>
      <c r="C145" s="131"/>
      <c r="D145" s="131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70"/>
      <c r="AC145" s="85"/>
      <c r="AD145" s="85"/>
      <c r="AE145" s="85"/>
      <c r="AF145" s="85"/>
      <c r="AG145" s="85"/>
      <c r="AH145" s="85"/>
    </row>
    <row r="146" spans="1:34" s="6" customFormat="1" ht="12">
      <c r="A146" s="67"/>
      <c r="B146" s="64"/>
      <c r="C146" s="131"/>
      <c r="D146" s="68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70"/>
      <c r="AC146" s="85"/>
      <c r="AD146" s="85"/>
      <c r="AE146" s="85"/>
      <c r="AF146" s="85"/>
      <c r="AG146" s="85"/>
      <c r="AH146" s="85"/>
    </row>
    <row r="147" spans="1:34" s="6" customFormat="1" ht="12">
      <c r="A147" s="67"/>
      <c r="B147" s="64"/>
      <c r="C147" s="131"/>
      <c r="D147" s="68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70"/>
      <c r="AC147" s="85"/>
      <c r="AD147" s="85"/>
      <c r="AE147" s="85"/>
      <c r="AF147" s="85"/>
      <c r="AG147" s="85"/>
      <c r="AH147" s="85"/>
    </row>
    <row r="148" spans="1:34">
      <c r="D148" s="147"/>
    </row>
  </sheetData>
  <mergeCells count="20">
    <mergeCell ref="C102:C103"/>
    <mergeCell ref="A40:B40"/>
    <mergeCell ref="C97:C98"/>
    <mergeCell ref="C94:C96"/>
    <mergeCell ref="C41:C53"/>
    <mergeCell ref="C54:C58"/>
    <mergeCell ref="C79:C84"/>
    <mergeCell ref="C63:C64"/>
    <mergeCell ref="C91:C93"/>
    <mergeCell ref="C65:C68"/>
    <mergeCell ref="C60:C62"/>
    <mergeCell ref="C85:C87"/>
    <mergeCell ref="C76:C78"/>
    <mergeCell ref="C72:C75"/>
    <mergeCell ref="C69:C71"/>
    <mergeCell ref="B4:D4"/>
    <mergeCell ref="AC5:AE5"/>
    <mergeCell ref="B3:AB3"/>
    <mergeCell ref="B2:AB2"/>
    <mergeCell ref="AF5:AH5"/>
  </mergeCells>
  <phoneticPr fontId="27" type="noConversion"/>
  <pageMargins left="0.39370078740157483" right="0.19685039370078741" top="0.39370078740157483" bottom="0.19685039370078741" header="0.31496062992125984" footer="0.31496062992125984"/>
  <pageSetup paperSize="9" scale="56" fitToHeight="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Пример расчета</vt:lpstr>
      <vt:lpstr>'Пример расчета'!Заголовки_для_печати</vt:lpstr>
      <vt:lpstr>'Пример расчета'!Область_печати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</dc:creator>
  <cp:lastModifiedBy>Ekonom7</cp:lastModifiedBy>
  <cp:lastPrinted>2015-03-25T08:40:14Z</cp:lastPrinted>
  <dcterms:created xsi:type="dcterms:W3CDTF">2014-05-20T08:02:03Z</dcterms:created>
  <dcterms:modified xsi:type="dcterms:W3CDTF">2015-03-25T08:40:20Z</dcterms:modified>
</cp:coreProperties>
</file>