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240" yWindow="45" windowWidth="20730" windowHeight="11760"/>
  </bookViews>
  <sheets>
    <sheet name="прогноз на 2019-2021 - за 2017" sheetId="14" r:id="rId1"/>
  </sheets>
  <definedNames>
    <definedName name="_xlnm.Print_Titles" localSheetId="0">'прогноз на 2019-2021 - за 2017'!$5:$7</definedName>
    <definedName name="_xlnm.Print_Area" localSheetId="0">'прогноз на 2019-2021 - за 2017'!$A$1:$AK$67</definedName>
  </definedNames>
  <calcPr calcId="125725" refMode="R1C1"/>
</workbook>
</file>

<file path=xl/calcChain.xml><?xml version="1.0" encoding="utf-8"?>
<calcChain xmlns="http://schemas.openxmlformats.org/spreadsheetml/2006/main">
  <c r="AG46" i="14"/>
  <c r="AG35" l="1"/>
  <c r="AG34"/>
  <c r="AG24"/>
  <c r="AF52" l="1"/>
  <c r="AF51"/>
  <c r="AJ59"/>
  <c r="AJ58" s="1"/>
  <c r="AF58"/>
  <c r="AJ56"/>
  <c r="AI57"/>
  <c r="AJ57" s="1"/>
  <c r="AH57"/>
  <c r="AG57"/>
  <c r="AF57"/>
  <c r="AB62"/>
  <c r="AF62"/>
  <c r="AG62" s="1"/>
  <c r="AH62" s="1"/>
  <c r="AI62" s="1"/>
  <c r="AJ62" s="1"/>
  <c r="AF64"/>
  <c r="AG64" s="1"/>
  <c r="AH64" s="1"/>
  <c r="AI64" s="1"/>
  <c r="AJ64" s="1"/>
  <c r="AJ55" l="1"/>
  <c r="AJ49" l="1"/>
  <c r="AJ47" s="1"/>
  <c r="AI49"/>
  <c r="AH49"/>
  <c r="AG49"/>
  <c r="AF45"/>
  <c r="AG45" s="1"/>
  <c r="AF44"/>
  <c r="AG44" s="1"/>
  <c r="AH44" s="1"/>
  <c r="AI44" s="1"/>
  <c r="AJ44" s="1"/>
  <c r="AF49"/>
  <c r="AF47" s="1"/>
  <c r="AG43"/>
  <c r="AH43" s="1"/>
  <c r="AG42" l="1"/>
  <c r="AG53" s="1"/>
  <c r="AG41"/>
  <c r="AH41" s="1"/>
  <c r="AI41" s="1"/>
  <c r="AJ41" s="1"/>
  <c r="AH45"/>
  <c r="AI45" s="1"/>
  <c r="AJ45" s="1"/>
  <c r="AI43"/>
  <c r="AF42"/>
  <c r="AF53" s="1"/>
  <c r="AH42" l="1"/>
  <c r="AH53" s="1"/>
  <c r="AJ43"/>
  <c r="AJ42" s="1"/>
  <c r="AJ53" s="1"/>
  <c r="AI42"/>
  <c r="AI53" s="1"/>
  <c r="AG40" l="1"/>
  <c r="AH40" s="1"/>
  <c r="AG39"/>
  <c r="AH39" s="1"/>
  <c r="AI39" s="1"/>
  <c r="AJ39" s="1"/>
  <c r="AF38"/>
  <c r="AB38"/>
  <c r="AI40" l="1"/>
  <c r="AH38"/>
  <c r="AG38"/>
  <c r="AI38" l="1"/>
  <c r="AJ40"/>
  <c r="AJ38" s="1"/>
  <c r="AG20"/>
  <c r="AH20" s="1"/>
  <c r="AG22"/>
  <c r="AG27"/>
  <c r="AH27" s="1"/>
  <c r="AI27" s="1"/>
  <c r="AJ27" s="1"/>
  <c r="AF26"/>
  <c r="AG26" s="1"/>
  <c r="AH26" s="1"/>
  <c r="AI26" s="1"/>
  <c r="AJ26" s="1"/>
  <c r="AJ28" s="1"/>
  <c r="AF15"/>
  <c r="AG18" l="1"/>
  <c r="W64"/>
  <c r="AE63"/>
  <c r="AB63"/>
  <c r="V63"/>
  <c r="W63" s="1"/>
  <c r="AA62"/>
  <c r="Z62"/>
  <c r="X62"/>
  <c r="V62"/>
  <c r="S62"/>
  <c r="O62"/>
  <c r="J62"/>
  <c r="E62"/>
  <c r="D62"/>
  <c r="AE61"/>
  <c r="AG61" s="1"/>
  <c r="AH61" s="1"/>
  <c r="AI61" s="1"/>
  <c r="AJ61" s="1"/>
  <c r="AD61"/>
  <c r="AC61"/>
  <c r="AA61"/>
  <c r="AB61" s="1"/>
  <c r="AF61" s="1"/>
  <c r="Z61"/>
  <c r="Y61"/>
  <c r="X61"/>
  <c r="W61"/>
  <c r="P61"/>
  <c r="J61"/>
  <c r="G61"/>
  <c r="F61"/>
  <c r="E61"/>
  <c r="D61"/>
  <c r="AB59"/>
  <c r="AI58"/>
  <c r="AH58"/>
  <c r="AG58"/>
  <c r="AE58"/>
  <c r="AD58"/>
  <c r="AA58"/>
  <c r="AB58" s="1"/>
  <c r="V58"/>
  <c r="T58"/>
  <c r="S58"/>
  <c r="R58"/>
  <c r="Q58"/>
  <c r="O58"/>
  <c r="N58"/>
  <c r="AE57"/>
  <c r="Z57"/>
  <c r="AB56"/>
  <c r="AB57" s="1"/>
  <c r="AE55"/>
  <c r="AD55"/>
  <c r="AA55"/>
  <c r="Z55"/>
  <c r="Y55"/>
  <c r="V55"/>
  <c r="U55"/>
  <c r="T55"/>
  <c r="S55"/>
  <c r="R55"/>
  <c r="Q55"/>
  <c r="P55"/>
  <c r="O55"/>
  <c r="N55"/>
  <c r="AA53"/>
  <c r="V53"/>
  <c r="T53"/>
  <c r="S53"/>
  <c r="R53"/>
  <c r="Q53"/>
  <c r="O53"/>
  <c r="AE52"/>
  <c r="AD52"/>
  <c r="AB52"/>
  <c r="AA52"/>
  <c r="Y52"/>
  <c r="Z52" s="1"/>
  <c r="AD51"/>
  <c r="AB51"/>
  <c r="AA51"/>
  <c r="Z51"/>
  <c r="AE49"/>
  <c r="AD49"/>
  <c r="AD47" s="1"/>
  <c r="AB49"/>
  <c r="AB47" s="1"/>
  <c r="AA49"/>
  <c r="V49"/>
  <c r="AA48"/>
  <c r="AI47"/>
  <c r="AH47"/>
  <c r="AG47"/>
  <c r="AE47"/>
  <c r="Z47"/>
  <c r="V47"/>
  <c r="N47"/>
  <c r="AH46"/>
  <c r="AI46" s="1"/>
  <c r="AJ46" s="1"/>
  <c r="AE46"/>
  <c r="AE45"/>
  <c r="AD45"/>
  <c r="AE44"/>
  <c r="AD44"/>
  <c r="AD43"/>
  <c r="AD42" s="1"/>
  <c r="AD53" s="1"/>
  <c r="AB42"/>
  <c r="AB53" s="1"/>
  <c r="Y42"/>
  <c r="AE41"/>
  <c r="AE40"/>
  <c r="AE38" s="1"/>
  <c r="AD40"/>
  <c r="AD38"/>
  <c r="Z38"/>
  <c r="AE35"/>
  <c r="AH35" s="1"/>
  <c r="AI35" s="1"/>
  <c r="AJ35" s="1"/>
  <c r="Z35"/>
  <c r="X35"/>
  <c r="U35"/>
  <c r="S35"/>
  <c r="Q35"/>
  <c r="P35"/>
  <c r="J35"/>
  <c r="AE34"/>
  <c r="AH34" s="1"/>
  <c r="AI34" s="1"/>
  <c r="AJ34" s="1"/>
  <c r="Z34"/>
  <c r="X34"/>
  <c r="U34"/>
  <c r="S34"/>
  <c r="Q34"/>
  <c r="K34"/>
  <c r="P34" s="1"/>
  <c r="J34"/>
  <c r="E30"/>
  <c r="F30" s="1"/>
  <c r="AE29"/>
  <c r="X28"/>
  <c r="Z28" s="1"/>
  <c r="AE27"/>
  <c r="AG29" s="1"/>
  <c r="X27"/>
  <c r="Z27" s="1"/>
  <c r="AD26"/>
  <c r="AC26"/>
  <c r="AB26"/>
  <c r="AE26" s="1"/>
  <c r="AA26"/>
  <c r="Y26"/>
  <c r="V26"/>
  <c r="X26" s="1"/>
  <c r="N26"/>
  <c r="J26"/>
  <c r="G26"/>
  <c r="E26"/>
  <c r="D26"/>
  <c r="AE24"/>
  <c r="AH24" s="1"/>
  <c r="AI24" s="1"/>
  <c r="AJ24" s="1"/>
  <c r="Z22"/>
  <c r="X22"/>
  <c r="V21"/>
  <c r="AA21" s="1"/>
  <c r="AB21" s="1"/>
  <c r="AF21" s="1"/>
  <c r="AE20"/>
  <c r="Z20"/>
  <c r="X20"/>
  <c r="X17" s="1"/>
  <c r="V18"/>
  <c r="X18" s="1"/>
  <c r="U18"/>
  <c r="Z17"/>
  <c r="V17"/>
  <c r="N17"/>
  <c r="N15" s="1"/>
  <c r="G17"/>
  <c r="U15"/>
  <c r="S15"/>
  <c r="P15"/>
  <c r="Q15" s="1"/>
  <c r="J15"/>
  <c r="G15"/>
  <c r="AI13"/>
  <c r="AH13"/>
  <c r="AG13"/>
  <c r="AE13"/>
  <c r="Z13"/>
  <c r="G13"/>
  <c r="F13"/>
  <c r="J13" s="1"/>
  <c r="AI12"/>
  <c r="AJ12" s="1"/>
  <c r="S12"/>
  <c r="Q12"/>
  <c r="P12"/>
  <c r="L12"/>
  <c r="K12"/>
  <c r="J12"/>
  <c r="H12"/>
  <c r="G12"/>
  <c r="F12"/>
  <c r="U12" s="1"/>
  <c r="AH11"/>
  <c r="AI11" s="1"/>
  <c r="AJ11" s="1"/>
  <c r="AE11"/>
  <c r="U11"/>
  <c r="S11"/>
  <c r="Q11"/>
  <c r="P11"/>
  <c r="J11"/>
  <c r="H11"/>
  <c r="G11"/>
  <c r="F11"/>
  <c r="X11" s="1"/>
  <c r="Z11" s="1"/>
  <c r="Z10"/>
  <c r="Z58" s="1"/>
  <c r="Y10"/>
  <c r="Y58" s="1"/>
  <c r="W10"/>
  <c r="K10"/>
  <c r="P10" s="1"/>
  <c r="J10"/>
  <c r="I10"/>
  <c r="AE42" l="1"/>
  <c r="AE53" s="1"/>
  <c r="AG63"/>
  <c r="AH63" s="1"/>
  <c r="AI63" s="1"/>
  <c r="AJ63" s="1"/>
  <c r="AF63"/>
  <c r="V15"/>
  <c r="AE22"/>
  <c r="AE17" s="1"/>
  <c r="Y53"/>
  <c r="U10"/>
  <c r="U58" s="1"/>
  <c r="Z29"/>
  <c r="Z26"/>
  <c r="L30"/>
  <c r="S30" s="1"/>
  <c r="J30"/>
  <c r="M30"/>
  <c r="U30" s="1"/>
  <c r="K30"/>
  <c r="P58"/>
  <c r="P53"/>
  <c r="U53"/>
  <c r="X15"/>
  <c r="AD21"/>
  <c r="AE21"/>
  <c r="AG21" s="1"/>
  <c r="AH21" s="1"/>
  <c r="AI21" s="1"/>
  <c r="AJ21" s="1"/>
  <c r="AE28"/>
  <c r="AH29"/>
  <c r="AI29" s="1"/>
  <c r="AJ29" s="1"/>
  <c r="X12"/>
  <c r="Z12" s="1"/>
  <c r="Y18"/>
  <c r="Z18" s="1"/>
  <c r="Z15" s="1"/>
  <c r="AA18"/>
  <c r="AI20"/>
  <c r="AJ20" s="1"/>
  <c r="X21"/>
  <c r="G30"/>
  <c r="N30" s="1"/>
  <c r="V30" s="1"/>
  <c r="AB30" s="1"/>
  <c r="AF30" s="1"/>
  <c r="AG30" s="1"/>
  <c r="Y21"/>
  <c r="Z21" s="1"/>
  <c r="Z42"/>
  <c r="Z53" s="1"/>
  <c r="AE30" l="1"/>
  <c r="AH30" s="1"/>
  <c r="AI30" s="1"/>
  <c r="AJ30" s="1"/>
  <c r="X30"/>
  <c r="Z30"/>
  <c r="AH22"/>
  <c r="AG17"/>
  <c r="AB18"/>
  <c r="AA15"/>
  <c r="Q30"/>
  <c r="P30"/>
  <c r="AE18" l="1"/>
  <c r="AB15"/>
  <c r="AI22"/>
  <c r="AH17"/>
  <c r="AI17" l="1"/>
  <c r="AJ22"/>
  <c r="AJ17" s="1"/>
  <c r="AE15"/>
  <c r="AH18" l="1"/>
  <c r="AG15"/>
  <c r="AI18" l="1"/>
  <c r="AH15"/>
  <c r="AI15" l="1"/>
  <c r="AJ18"/>
  <c r="AJ15" s="1"/>
  <c r="AG28" l="1"/>
  <c r="AH28"/>
  <c r="AI28" l="1"/>
</calcChain>
</file>

<file path=xl/comments1.xml><?xml version="1.0" encoding="utf-8"?>
<comments xmlns="http://schemas.openxmlformats.org/spreadsheetml/2006/main">
  <authors>
    <author>Ekonom7</author>
    <author>Inet</author>
  </authors>
  <commentList>
    <comment ref="N52" authorId="0">
      <text>
        <r>
          <rPr>
            <b/>
            <sz val="9"/>
            <color indexed="81"/>
            <rFont val="Tahoma"/>
            <family val="2"/>
            <charset val="204"/>
          </rPr>
          <t>Ekonom7:</t>
        </r>
        <r>
          <rPr>
            <sz val="9"/>
            <color indexed="81"/>
            <rFont val="Tahoma"/>
            <family val="2"/>
            <charset val="204"/>
          </rPr>
          <t xml:space="preserve">
на 31.12.14</t>
        </r>
      </text>
    </comment>
    <comment ref="V52" authorId="0">
      <text>
        <r>
          <rPr>
            <b/>
            <sz val="9"/>
            <color indexed="81"/>
            <rFont val="Tahoma"/>
            <family val="2"/>
            <charset val="204"/>
          </rPr>
          <t>Ekonom7:</t>
        </r>
        <r>
          <rPr>
            <sz val="9"/>
            <color indexed="81"/>
            <rFont val="Tahoma"/>
            <family val="2"/>
            <charset val="204"/>
          </rPr>
          <t xml:space="preserve">
на 31.12.15</t>
        </r>
      </text>
    </comment>
    <comment ref="Y52" authorId="1">
      <text>
        <r>
          <rPr>
            <b/>
            <sz val="9"/>
            <color indexed="81"/>
            <rFont val="Tahoma"/>
            <family val="2"/>
            <charset val="204"/>
          </rPr>
          <t>Inet:</t>
        </r>
        <r>
          <rPr>
            <sz val="9"/>
            <color indexed="81"/>
            <rFont val="Tahoma"/>
            <family val="2"/>
            <charset val="204"/>
          </rPr>
          <t xml:space="preserve">
за 9 мес. Поставлено - 59, снято 237</t>
        </r>
      </text>
    </comment>
    <comment ref="Z52" authorId="0">
      <text>
        <r>
          <rPr>
            <b/>
            <sz val="9"/>
            <color indexed="81"/>
            <rFont val="Tahoma"/>
            <family val="2"/>
            <charset val="204"/>
          </rPr>
          <t>Ekonom7:</t>
        </r>
        <r>
          <rPr>
            <sz val="9"/>
            <color indexed="81"/>
            <rFont val="Tahoma"/>
            <family val="2"/>
            <charset val="204"/>
          </rPr>
          <t xml:space="preserve">
на 31.12.15 = 01.01.16</t>
        </r>
      </text>
    </comment>
    <comment ref="AA52" authorId="0">
      <text>
        <r>
          <rPr>
            <b/>
            <sz val="9"/>
            <color indexed="81"/>
            <rFont val="Tahoma"/>
            <family val="2"/>
            <charset val="204"/>
          </rPr>
          <t>Ekonom7:</t>
        </r>
        <r>
          <rPr>
            <sz val="9"/>
            <color indexed="81"/>
            <rFont val="Tahoma"/>
            <family val="2"/>
            <charset val="204"/>
          </rPr>
          <t xml:space="preserve">
на 01.01.2017
</t>
        </r>
      </text>
    </comment>
    <comment ref="AB52" authorId="0">
      <text>
        <r>
          <rPr>
            <b/>
            <sz val="9"/>
            <color indexed="81"/>
            <rFont val="Tahoma"/>
            <family val="2"/>
            <charset val="204"/>
          </rPr>
          <t>Ekonom7:</t>
        </r>
        <r>
          <rPr>
            <sz val="9"/>
            <color indexed="81"/>
            <rFont val="Tahoma"/>
            <family val="2"/>
            <charset val="204"/>
          </rPr>
          <t xml:space="preserve">
на 01.01.2017
</t>
        </r>
      </text>
    </comment>
  </commentList>
</comments>
</file>

<file path=xl/sharedStrings.xml><?xml version="1.0" encoding="utf-8"?>
<sst xmlns="http://schemas.openxmlformats.org/spreadsheetml/2006/main" count="432" uniqueCount="227">
  <si>
    <t>№ п/п</t>
  </si>
  <si>
    <t>Наименование индикатора</t>
  </si>
  <si>
    <t>Ед. изм.</t>
  </si>
  <si>
    <t>отчет</t>
  </si>
  <si>
    <t>оценка</t>
  </si>
  <si>
    <t>2011 год</t>
  </si>
  <si>
    <t>2012 года</t>
  </si>
  <si>
    <t>2013 год</t>
  </si>
  <si>
    <t>2014 год</t>
  </si>
  <si>
    <t>2015 год</t>
  </si>
  <si>
    <t>2016 год</t>
  </si>
  <si>
    <t>1.</t>
  </si>
  <si>
    <t>Демографическая ситуация</t>
  </si>
  <si>
    <t>1.1.</t>
  </si>
  <si>
    <t>Среднегодовая численность постоянного населения</t>
  </si>
  <si>
    <t>тыс. чел.</t>
  </si>
  <si>
    <t>1.2.</t>
  </si>
  <si>
    <t>Естественный прирост (убыль) человек</t>
  </si>
  <si>
    <t>тыс.чел.</t>
  </si>
  <si>
    <t>1.3.</t>
  </si>
  <si>
    <t>Миграционный прирост (убыль) населения</t>
  </si>
  <si>
    <t>1.4.</t>
  </si>
  <si>
    <t>Численность населения трудоспособного возраста</t>
  </si>
  <si>
    <t>2.</t>
  </si>
  <si>
    <t>Труд</t>
  </si>
  <si>
    <t>2.1.</t>
  </si>
  <si>
    <t>Фонд оплаты труда работников предприятий, организаций расположенных на территории муниципального образования</t>
  </si>
  <si>
    <t>млн. руб.</t>
  </si>
  <si>
    <t>2.2.</t>
  </si>
  <si>
    <t>Среднесписочная численность работников (без внешних совместителей) всех предприятий и организаций</t>
  </si>
  <si>
    <t>2.3.</t>
  </si>
  <si>
    <t>рублей</t>
  </si>
  <si>
    <t>3.</t>
  </si>
  <si>
    <t>Предпринимательство</t>
  </si>
  <si>
    <t>3.1.</t>
  </si>
  <si>
    <t>3.2.</t>
  </si>
  <si>
    <t>3.3.</t>
  </si>
  <si>
    <t>4.</t>
  </si>
  <si>
    <t>Потребительский рынок</t>
  </si>
  <si>
    <t>4.1.</t>
  </si>
  <si>
    <t xml:space="preserve"> Оборот розничной торговли</t>
  </si>
  <si>
    <t>млн. руб</t>
  </si>
  <si>
    <t>4.2.</t>
  </si>
  <si>
    <t>Оборот общественного питания</t>
  </si>
  <si>
    <t>4.3.</t>
  </si>
  <si>
    <t>5.</t>
  </si>
  <si>
    <t>5.1.</t>
  </si>
  <si>
    <t>5.2.</t>
  </si>
  <si>
    <t>5.3.</t>
  </si>
  <si>
    <t>5.4.</t>
  </si>
  <si>
    <t>5.5.</t>
  </si>
  <si>
    <t>6.</t>
  </si>
  <si>
    <t>Прочие показатели</t>
  </si>
  <si>
    <t>6.1.</t>
  </si>
  <si>
    <t>Общая площадь территории городского округа</t>
  </si>
  <si>
    <t>га</t>
  </si>
  <si>
    <t>6.2.</t>
  </si>
  <si>
    <t>Площадь земельных участков, являющихся объектами налогообложения земельным налогом</t>
  </si>
  <si>
    <t>Общая площадь жилых помещений, приходящаяся в среднем на одного жителя</t>
  </si>
  <si>
    <t>кв.м</t>
  </si>
  <si>
    <t>* - предоставлены показатели за 9 месяцев</t>
  </si>
  <si>
    <t>4.4. Объем работ, выполненных по виду деятельности "строительство" за 2007г</t>
  </si>
  <si>
    <t>предоставлены показатели за 9 месяцев *</t>
  </si>
  <si>
    <t>5. Ввод в действие жилья и объектов соцкультбыта за 2007 г предоставлены показатели за 9 месяцев *</t>
  </si>
  <si>
    <t>5. Потребительский рынок за 2007 год представлены показатели за 9 месяцев *</t>
  </si>
  <si>
    <t>Прогноз на 2011 год 1 Вариант не представлен, отсутствует индекс-дефлятор</t>
  </si>
  <si>
    <t>2017 год</t>
  </si>
  <si>
    <t>прогноз</t>
  </si>
  <si>
    <t>тыс. чел</t>
  </si>
  <si>
    <t>Оборот продукции (услуг), производимый малыми предприятиями, в т.ч.</t>
  </si>
  <si>
    <t>микропредприятиями</t>
  </si>
  <si>
    <t>индивидуальными предпринимателями</t>
  </si>
  <si>
    <t>единиц</t>
  </si>
  <si>
    <t>Примечание</t>
  </si>
  <si>
    <t>6 месяцев 2014</t>
  </si>
  <si>
    <t>2368,2**</t>
  </si>
  <si>
    <t>778,2**</t>
  </si>
  <si>
    <t>15,5*</t>
  </si>
  <si>
    <t>14,3*</t>
  </si>
  <si>
    <t>23,2*</t>
  </si>
  <si>
    <t>386,4*</t>
  </si>
  <si>
    <t>62 163,5*</t>
  </si>
  <si>
    <t>1 921,3*</t>
  </si>
  <si>
    <t>9 месяцев 2014</t>
  </si>
  <si>
    <t>65 423,7**</t>
  </si>
  <si>
    <t>0,08***</t>
  </si>
  <si>
    <t>0,1***</t>
  </si>
  <si>
    <t>5014,3***</t>
  </si>
  <si>
    <t>4320*</t>
  </si>
  <si>
    <t>инф-я отсутствует</t>
  </si>
  <si>
    <t>кв.км</t>
  </si>
  <si>
    <t>4,32*</t>
  </si>
  <si>
    <t>2018 год</t>
  </si>
  <si>
    <t>6 месяцев 2015</t>
  </si>
  <si>
    <t>оценка на 15.04.15</t>
  </si>
  <si>
    <t>индекс потребительских цен</t>
  </si>
  <si>
    <t>15,3*</t>
  </si>
  <si>
    <t>66902,5*</t>
  </si>
  <si>
    <t xml:space="preserve">оценка </t>
  </si>
  <si>
    <t xml:space="preserve">отчет </t>
  </si>
  <si>
    <t>отчет на 01.08.2015</t>
  </si>
  <si>
    <t>оценка на 01.08.2015</t>
  </si>
  <si>
    <t>уточненный</t>
  </si>
  <si>
    <t>на 15.04.15</t>
  </si>
  <si>
    <t>на 01.10.2015</t>
  </si>
  <si>
    <t>на 23.11.2015</t>
  </si>
  <si>
    <t xml:space="preserve"> на 01.10.2015</t>
  </si>
  <si>
    <t>9 месяцев 2015</t>
  </si>
  <si>
    <t>2019 год</t>
  </si>
  <si>
    <t>5 406,7***</t>
  </si>
  <si>
    <t>в том числе</t>
  </si>
  <si>
    <t>Фонд оплаты труда работников  крупных и средних организаций, расположенных на территории муниципального образования</t>
  </si>
  <si>
    <t>12,865***</t>
  </si>
  <si>
    <t>Среднесписочная численность работников (без внешних совместителей) крупных и средних организаций</t>
  </si>
  <si>
    <t>Среднесписочная численность работников (без внешних совместителей) малых и средних организаций</t>
  </si>
  <si>
    <t>70 044,0***</t>
  </si>
  <si>
    <t>Число субъектов малого и среднего предпринимательства, всего, в т.ч.</t>
  </si>
  <si>
    <t>3,728871***</t>
  </si>
  <si>
    <t>6 месяцев 2016</t>
  </si>
  <si>
    <t>2016 год по итогам за 6 мес.</t>
  </si>
  <si>
    <t>9 месяцев 2016</t>
  </si>
  <si>
    <t>2.4.</t>
  </si>
  <si>
    <t>Уровень безработицы</t>
  </si>
  <si>
    <t>%</t>
  </si>
  <si>
    <t>2.5.</t>
  </si>
  <si>
    <t>Прожиточный минимум на душу населения</t>
  </si>
  <si>
    <t>- индивидуальных предпринимателей</t>
  </si>
  <si>
    <t>- юридических лиц</t>
  </si>
  <si>
    <t>Количество индивидуальных предпринимателей, применяющих патентную систему налогообложения</t>
  </si>
  <si>
    <t>Индекс потребительских цен (декабрь к декабрю)</t>
  </si>
  <si>
    <t>Жилищное строительство и обеспечение граждан жильем</t>
  </si>
  <si>
    <t>Количество многоквартирных домов</t>
  </si>
  <si>
    <t>Общая площадь жилых помещений муниципального жилого фонда</t>
  </si>
  <si>
    <t>тыс.кв.м.</t>
  </si>
  <si>
    <t>Объем жилищного строительства</t>
  </si>
  <si>
    <t>Количество граждан, получивших жилые помещения и улучшивших жилищные условия в отчетном периоде из числа граждан, состоящих на учете в качестве нуждающегося в жилых помещениях</t>
  </si>
  <si>
    <t>5.6.</t>
  </si>
  <si>
    <t>Количество граждан, состоящих на учете в качестве нуждающихся в жилых помещениях</t>
  </si>
  <si>
    <t>Организация муниципального управления</t>
  </si>
  <si>
    <t>Сумма доходов местного бюджета, всего, в т.ч.</t>
  </si>
  <si>
    <t>собственные налоговые и неналоговые доходы местного бюджета</t>
  </si>
  <si>
    <t>межбюджетные трансферты</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</si>
  <si>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</si>
  <si>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Расходы бюджета муниципального образования на содержание работников органов местного самоуправления</t>
  </si>
  <si>
    <t>7.</t>
  </si>
  <si>
    <t>тыс.руб.</t>
  </si>
  <si>
    <t>5.2.1.</t>
  </si>
  <si>
    <t>Общая протяженность автомобильных дорог общего пользования местного значения</t>
  </si>
  <si>
    <t>км</t>
  </si>
  <si>
    <t>Протяженность автомобильных дорог общего пользования местного значения, отвечающих нормативным требованиям</t>
  </si>
  <si>
    <t>7.1.</t>
  </si>
  <si>
    <t>7.2.</t>
  </si>
  <si>
    <t>7.3.</t>
  </si>
  <si>
    <t>7.4.</t>
  </si>
  <si>
    <t>Среднемесячная номинальная начисленная заработная плата работников крупных и средних предприятий и некоммерческих организаций</t>
  </si>
  <si>
    <t>расчетным путем</t>
  </si>
  <si>
    <t>семей</t>
  </si>
  <si>
    <t>5777,5431***</t>
  </si>
  <si>
    <t>Общая площадь жилых помещений (МКД + ИЖД), всего, в том числе:</t>
  </si>
  <si>
    <t>5777,5*</t>
  </si>
  <si>
    <t>72340,5*</t>
  </si>
  <si>
    <t>104,34**</t>
  </si>
  <si>
    <t>58*</t>
  </si>
  <si>
    <t>факт</t>
  </si>
  <si>
    <t>2020 год</t>
  </si>
  <si>
    <t>14,7*</t>
  </si>
  <si>
    <t>0,3*</t>
  </si>
  <si>
    <t>2287,0*</t>
  </si>
  <si>
    <t>486,5*</t>
  </si>
  <si>
    <t>1902,9*</t>
  </si>
  <si>
    <t>6 месяцев 2017</t>
  </si>
  <si>
    <t>9 месяцев 2017</t>
  </si>
  <si>
    <t xml:space="preserve">Показатель указан по данным УМИ и ЗО </t>
  </si>
  <si>
    <t>нет данных</t>
  </si>
  <si>
    <t>5091,8*</t>
  </si>
  <si>
    <t>12,021*</t>
  </si>
  <si>
    <t>5098,9*</t>
  </si>
  <si>
    <t>70 595,4*</t>
  </si>
  <si>
    <t>2,4%**</t>
  </si>
  <si>
    <t>82*</t>
  </si>
  <si>
    <t>общежития</t>
  </si>
  <si>
    <t>МКД</t>
  </si>
  <si>
    <t>ИЖД</t>
  </si>
  <si>
    <t>не планируется</t>
  </si>
  <si>
    <t>0,110**</t>
  </si>
  <si>
    <t>0,004**</t>
  </si>
  <si>
    <t>Уточнен показатель за 2016 год по данным официального сайта Управления федеральной службы государственной статистики по Архангельской области и НАО. .Прогноз составлен с учетом доведенных ИПЦ</t>
  </si>
  <si>
    <t xml:space="preserve"> Предварительные итоги социально-экономического развития города Нарьян-Мара за 9 месяцев 2017 года и ожидаемые итоги социально-экономического развития города Нарьян-Мара за 2017 год</t>
  </si>
  <si>
    <t xml:space="preserve"> Управлением федеральной службы государственной статистики по Архангельской области и НАО данные не формируются в соответствии с утвержденным планом статистических работ.</t>
  </si>
  <si>
    <t>2021 год</t>
  </si>
  <si>
    <t>0,11*</t>
  </si>
  <si>
    <t>0,004*</t>
  </si>
  <si>
    <t>14,678*</t>
  </si>
  <si>
    <t xml:space="preserve">По данным Архстата за 2017 год среднегодовая численность населения города Нарьян-Мара составила 24 715 человек. 
 В соответствии с планом статистических работ, утвержденным распоряжением Правительства РФ от 06.05.2008 № 671-р, данные о естественном приросте, миграции населения формируются 2 июля, данные о численности городского и сельского населения на 1 января текущего года - 31 июля, данные о возрастно-половом составе населения на 1 января текущего года – 1 октября. Промежуточные данные по показателям не формируются в соответствии с планом статистических работ. По данным Архстата за 8 мес. 2017 миграция составила 4 человека ( 814 прибыло, 810 убыло), естественный прирост составил 110 человек. Показатели на прогнозный период 2019 – 2021 годов сформированы с учетом  данных статуправления за 2017 год , динамики изменения численности населения по поло-возрастным группам и прогнозных показателей по НАО.  </t>
  </si>
  <si>
    <t>Показатель указан по данным Территориального органа Федеральной службы государственной статистики по Ненецкому АО. В 2017 снизилась числ-ть раб-в орг-ций строительства, оптовой и розничной торговли, образования, гос.управлении</t>
  </si>
  <si>
    <t>В 2017 снизилась числ-ть раб-в орг-ций строительства, оптовой и розничной торговли, образования, гос.управлении. Прогнозные показатели определены расчетным путем по среднегодовой динамике</t>
  </si>
  <si>
    <t>по данным Управления федеральной службы государственной статистики по Архангельской области и НАО  с сайта. По сравнению с 2016 годом снизилась среднемесячная начисленная заработная плата работников по следующим видам экономической деятельности: "Добыча полезных ископаемых" (на 14,4%), "Сельское, лесное хозяйство, охота, рыболовство и рыбоводство" на 7,3%, "Деятельность по операциям с недвижимым имуществом" на 7%, "Строительство" на 5,4%, "Образование" на 4,5%, "Государственное управление и обеспечение военной безопасности; социальное обеспечение" и "Обрабатывающие производства" на 4%. 
При этом увеличился размер среднемесячной начисленной заработной платы работников по видам экономической деятельности: "Деятельность финансовая и страховая" на 14,7%, "Торговля оптовая и розничная; ремонт автотранспортных средств и мотоциклов" на 4,2%, "Деятельность в области здравоохранения и социальных услуг" на 1,3%.
 Плановый 2018 год и прогнозный период сформированы с ростом на 3% (в соответствии с требованиями Отраслевых тарифных соглашений уровень ставки рабочего первого разряда подлежит ежегодной индексации).</t>
  </si>
  <si>
    <t>Показатель за 2017 год указан по данным Единого реестра субъектов малого и среднего предпринимательства, размещенного на  официальном сайте Федеральной налоговой службы по состоянию на 31.12.2017.</t>
  </si>
  <si>
    <t>По состоянию на 31.12.2017 в МО числится 383 МКД. За 2017 год введено в эксплуатацию 2 новых МКД и снесено 20 МКД. В 2018 году ожидается к вводу в эксплуатацию 6 МКД и к сносу 20 МКД. В 2019 году планируется ввести 1 МКД, снести - 27 ветхих домов. В 2020 ориентировочно будет снесено 20 МКД</t>
  </si>
  <si>
    <t xml:space="preserve"> По состоянию на 31.12.2017 в МО числится 851 МКД. По данным Департамента строит-ва, ЖКХ, энергетики и транспорта  НАО ожидается ежегодно вводить по 10 тыс.м2 жилой S в ИЖД, что в среднем соответствует 40 ИЖД</t>
  </si>
  <si>
    <r>
      <t xml:space="preserve">В 2017 году  </t>
    </r>
    <r>
      <rPr>
        <i/>
        <u/>
        <sz val="10"/>
        <rFont val="Times New Roman Cyr"/>
        <charset val="204"/>
      </rPr>
      <t>ведено</t>
    </r>
    <r>
      <rPr>
        <i/>
        <sz val="10"/>
        <rFont val="Times New Roman Cyr"/>
        <family val="1"/>
        <charset val="204"/>
      </rPr>
      <t xml:space="preserve"> 2 МКД (5 122,2 м2):  по ул.Полярной  д.15 (2164,4 м2), Тыко-Вылко, д.11 (2957,8 кв.м.). По данным Департамента строит-ва, ЖКХ, энергетики и транспорта  НАО в 2018 году планируется ввести 6 многоквартирных домов общей площадью – 34,8 тыс. кв. м.(по ул.Ленина 5,4 тыс.м2, по ул.Авиаторов 19,6 тыс.м2, по ул. Пионерская 3 МКД площадью  3,4 тыс.м2 ,1,7 тыс. м2 и 0,986 тыс.м2, по ул.Первомайской 3,8 тыс.м2) В 2019 – 1 многоквартирный дом, площадью 2,555 тыс. кв.м. Данные о вводе в эксплуатацию многоквартирных домов в 2020 году отсутствуют. По данным Департамента строит-ва, ЖКХ, энергетики и транспорта  НАО ожидается ежегодно вводить по 20 тыс.м2 жилой S.             За 2017 год </t>
    </r>
    <r>
      <rPr>
        <i/>
        <u/>
        <sz val="10"/>
        <rFont val="Times New Roman Cyr"/>
        <charset val="204"/>
      </rPr>
      <t>расселено и/или снесено</t>
    </r>
    <r>
      <rPr>
        <i/>
        <sz val="10"/>
        <rFont val="Times New Roman Cyr"/>
        <family val="1"/>
        <charset val="204"/>
      </rPr>
      <t xml:space="preserve"> 20 МКД общей жилой площадью 7916,9 кв.м (Ленина, 44 (368,5); Зелёная, 16 (164,4); Смидовича 35А (57,2); Смидовича 32 (347,5); Хатанзейского, д.1а (498,1), д. 4 (510,4), д.16 (515,3), д. 18 (517,9), д.22 (532,7); Рыбацкий, д.16(330), д.20 (334), д.18 (333,1); Ленина, д.46а( 520,5), Меньшикова, д.6а (519,7), Октябрьская, д.35 (516,1), Пырерко, д. 2а (719,2), Рыбников, д.25 (338,5), Совхозная, д. 11 (476,8), д. 7 (119,8); Юбилейная, д.22а (197,2)).  В 2018 году из  реестра первого этапа планируется снести 20 домов, площадью 7 400 м.кв. За 2015, 2016 и 2017 года в среднем сносилось по 6 226 м. кв. ветхого жилья, Прогнозный показатель на 2019 и 2020 годы установлен на уровне среднегодового показателя.</t>
    </r>
  </si>
  <si>
    <t xml:space="preserve">По отчету 1 -жилфонд за 2017 год введено новой площади ИЖД и присвоено 24 адреса индивидуальным строениям общей площадью 3 773,4 м2. В среднем в 2015- 2017 годах площадь вводимых в эксплуатацию жилых домов составляла  5 490,13 м. кв. Прогнозный показатель на 2018  установлен на уровне среднегодового показателя. Показатель на 2019-2020 год установлен по данным Департамента строит-ва, ЖКХ, энергетики и транспорта  НАО с ежегодным вводом по 10 тыс.м2 жилой S.  </t>
  </si>
  <si>
    <t xml:space="preserve">По состоянию на 31.12.2017 в МО числится  851 индивидуальных жилых домов общей жилой площадью 117 595,4 м2. По отчету 1 -жилфонд за 2017 год введено новой площади ИЖД и присвоено 24 адреса индивидуальным строениям общей площадью 3 773,4 м2. В среднем в 2015- 2017 годах площадь вводимых в эксплуатацию жилых домов составляла  5 490,13 м. кв. Прогнозный показатель на 2018  установлен на уровне среднегодового показателя. Показатель на 2019-2020 год установлен по данным Департамента строит-ва, ЖКХ, энергетики и транспорта  НАО с ежегодным вводом по 10 тыс.м2 жилой S.  </t>
  </si>
  <si>
    <t xml:space="preserve">По отчету 1 -жилфонд за 2017 год и по своду ЖФ на 31.12.2017 - площадь МКД - 489 387,40 м2жил.S  (по своду на 31.12.2016 - 492 182,1 м2жил.S,)  В 2017 году  ведено 2 МКД (5 122,2 м2):  по ул.Полярной  д.15 (2164,4 м2), Тыко-Вылко, д.11 (2957,8 кв.м.). По данным Департамента строит-ва, ЖКХ, энергетики и транспорта  НАО в 2018 году планируется ввести 6 многоквартирных домов общей площадью – 34,8 тыс. кв. м.(по ул.Ленина 5,4 тыс.м2, по ул.Авиаторов 19,6 тыс.м2, по ул. Пионерская 3 МКД площадью  3,4 тыс.м2 ,1,7 тыс. м2 и 0,986 тыс.м2, по ул.Первомайской 3,8 тыс.м2) В 2019 – 1 многоквартирный дом, площадью 2,555 тыс. кв.м. Данные о вводе в эксплуатацию многоквартирных домов в 2020 году отсутствуют. По данным Департамента строит-ва, ЖКХ, энергетики и транспорта  НАО ожидается ежегодно вводить по 20 тыс.м2 жилой S .                                                                                                                                За 2017 год расселено и/или снесено 20 МКД общей жилой площадью 7916,9 кв.м (Ленина, 44 (368,5); Зелёная, 16 (164,4); Смидовича 35А (57,2); Смидовича 32 (347,5); Хатанзейского, д.1а (498,1), д. 4 (510,4), д.16 (515,3), д. 18 (517,9), д.22 (532,7); Рыбацкий, д.16(330), д.20 (334), д.18 (333,1); Ленина, д.46а( 520,5), Меньшикова, д.6а (519,7), Октябрьская, д.35 (516,1), Пырерко, д. 2а (719,2), Рыбников, д.25 (338,5), Совхозная, д. 11 (476,8), д. 7 (119,8); Юбилейная, д.22а (197,2)).  В 2018 году из  реестра первого этапа планируется снести 20 домов, площадью 7 400 м.кв. За 2015, 2016 и 2017 года в среднем сносилось по 6 226 м. кв. ветхого жилья, Прогнозный показатель на 2019 и 2020 годы установлен на уровне среднегодового показателя.                                                    </t>
  </si>
  <si>
    <t>Протяженность мун.дорог по состоянию на 31.12.2017 составляет 43,541  км. В связи с высокой дотационностью городского бюджета строительство новых муниципальных дорог  не планируется.</t>
  </si>
  <si>
    <t>Из 43,541 км дорог местного значения отвечают нормативным требованиям 7,383 км по 12 дорогам: пр.Матросова - 0,348 км, ул. Ненецкая -0,665 км, ул. Победы - 0,262 км, ул. Пырерка - 0,512 км, ул. Рыбников - 0,859 км, ул. Тыко-Вылко - 0,500 км. ул. Пионерская - 0,428 км., ул. Сущинского - 0,71 км.; ул. Швецова - 0,606 км.; ул. Полярная-ул. Рыбников - 0,889 км.;  ул. Рыбников-ЦОС - 0,485км, ул. Российская - 1,119 км.  В 2017 году перешла в разряд дорог соответствующих нормативным требованиям дорога по ул. Российская протяженностью 1,119 км и выбыла из разряда соответствующих нормативным требованиям дорога по ул.Чернова 0,415 км протяженностью (требует реконструкции). В 2020 году планируется завершение реконструкции дороги по ул.Авиаторов протяженностью 1,012   км.</t>
  </si>
  <si>
    <t xml:space="preserve">Показатели за 2016 и 2017 годы указан по официальным  данным из программы АИН.налог.ру. Прогнозный показатель определен расчетным путем по среднегодовой динамике роста 1% </t>
  </si>
  <si>
    <t xml:space="preserve">Значение данного показателя соответствует значению показателя статистической формы "1-МБ", которая заполняется в соответствии с Приказом Росстата от 01.08.2017 №509 "Об утверждении статистического инструментария для организации федерального статистического наблюдения за ценами и финансами".
В 2017 году увеличение показателя связано с:
- выплатами выборным должностям при прекращении ими полномочий, в случаях предусмотренных законодательством РФ; 
-  выплатами муниципальным служащим, увольняемым по сокращению штатной численности и по истечении срока трудового договора, заключенного на период исполнения полномочий выборного должностного лица; 
- увеличением предельной величины базы для начисления страховых взносов во внебюджетные фонды.
 На 2018-2021 годы расходы на содержание работников органов местного самоуправления запланированы на уровне предыдущего года, но с учетом расходов на содержание работников Управления строительства, жилищно-коммунального хозяйства и градостроительной деятельности в связи с реорганизацией данного юридического лица.
</t>
  </si>
  <si>
    <t>В 2017 году продолжилась динамика  снижения налоговых и неналоговых доходов городского бюджета.
Основной причиной является  значительное снижение поступлений по НДФЛ в связи с уменьшением количества  организаций - налогоплательщиков, снижением численности работающих в организациях, уменьшением суммы выплаченного дохода, уточнением ОКТМО платежа в другие муниципальные образования,  завершением проектов по выполнению работ.
Кроме того, снижение налоговых и неналоговых доходов в 2017 году вызвано уменьшением числа индивидуальных предпринимателей применяющих ЕНВД в связи с  переходом на применение патентной системы налогообложения,  уменьшением сумм начисленных налоговых платежей по земельному налогу вследствие уменьшения количества земельных участков юридических лиц по причинам прекращения прав собственности (передача земельных участков юридическими лицами в собственность НАО), реорганизации и ликвидации организаций по месту нахождения земельного участка. Внесение изменений в федеральное законодательство привело к снижению фактических поступлений государственной пошлины и платежей при пользовании природными ресурсами.</t>
  </si>
  <si>
    <t xml:space="preserve">По состоянию на 31.12.2017 на учете нуждающихся в жилых помещениях по договорам социального найма в Администрации МО "Городской округ "Город Нарьян-Мар" состоят 1 128 семьи (на 01.01.2016 – 1 332 семьи). За 2017 год получили новые квартиры 3 семьи, с учёта снято 258 семей, принято на учёт 57 семей (за 2016 год получили новые квартиры 68 семей, с учёта снято 258 семей, принято на учёт 75 семей). 
Кроме того, в 2017 году в рамках муниципальной программы "Переселение граждан из жилищного фонда, признанного непригодным для проживания и/или с высоким уровнем износа" получили новые квартиры 134 семьи (в 2016 году было переселено 46 семей). По состоянию на 01.01.2018 нуждаются в переселении 956 семей (на 01.01.2017 – 809 семей). </t>
  </si>
  <si>
    <t>В 2017 году получили новые квартиры и улучшили свои жилищные условия 137 семей (в 2016 – 114 семьи), в том числе по социальной очереди 3 семьи (в 2016 – 68 семьи), по программе "Переселение граждан из жилищного фонда, признанного непригодным для проживания и/или с высоким уровнем износа"- 134 семьи (в 2016 – 46 семей).</t>
  </si>
  <si>
    <t>в 2017 году 10 общежитий - ул. 60 лет Октября д.44, ул.Авиаторов д. 12А, ул.Выучейского д. 27, ул. Меньшикова 14 и 22, ул.Пионерская д.18, ул.Сапрыгина д.7, ул.Хатанзейского д.5, ул. Юбилейная д.13, ул.Южная 16Б</t>
  </si>
  <si>
    <t>в соответствии с постановлением Администрации Ненецкого автономного округа № 6-п от 26 января 2018 года за 4 квартал 2017 года прожиточный минимум составил 20 622 рублей. На плановый период определен расчетным путем с учетом изменения индекса потребительских цен</t>
  </si>
  <si>
    <t>По данным КУ НАО "Центр занятости населения"  на 31.12.2017 уровень безработицы остался на уровне 2016 года и составил 2,6%. Численность безработных граждан на 31.12.2017 составила 592 человека (на 31.12.2016 - 591 человек).</t>
  </si>
  <si>
    <t>статистические показатели с сайта за 12 мес. 2017 года. На планируемый период среднемесячная номинальная начисленная заработная плата работников крупных и средних предприятий и некоммерческих организаций указана с индексацией на 3% в 2018 – 2020 годах (в соответствии с требованиями Отраслевых тарифных соглашений уровень ставки рабочего первого разряда подлежит ежегодной индексации).</t>
  </si>
  <si>
    <t>По статистическим данным Межрайонной инспекции ФНС РФ № 4 по Архангельской области и НАО по форме отчета патент – 1 по состоянию на 31.12.2017 год.</t>
  </si>
  <si>
    <t>Показатель указан по данным Росстата за 2017 год и прогноза Минэкономразвития России, по прогнозу СЭР от 24.11.2016.</t>
  </si>
  <si>
    <t xml:space="preserve"> Управлением федеральной службы государственной статистики по Архангельской области и НАО данные не формируются в соответствии с утвержденным планом статистических работ. Показатель сформирован от факта 2015 года с применением индекса потребительских цен. </t>
  </si>
  <si>
    <t>*- за 8 мес.2017 года</t>
  </si>
  <si>
    <t>По состоянию на 31.12.2017 в МО числится 383 многоквартирных дома , 851 индивидуальных жилых домов, 10 общежитий . За 2017 год введено в эксплуатацию 2 новых МКД и снесено 20 МКД. В 2018 году ожидается к вводу в эксплуатацию 6 МКД и к сносу 20 МКД. В 2019 году планируется ввести 1 МКД, снести - 27 ветхих домов. В 2020-2021 ориентировочно будет снесено ежегодно по 20 МКД</t>
  </si>
  <si>
    <t xml:space="preserve">По состоянию на 31.12.2017 в МО числится  10 общежитий общей жилой площадью 5084,6 м2. </t>
  </si>
  <si>
    <r>
      <rPr>
        <b/>
        <i/>
        <u/>
        <sz val="10"/>
        <rFont val="Times New Roman Cyr"/>
        <charset val="204"/>
      </rPr>
      <t xml:space="preserve">По МКД: </t>
    </r>
    <r>
      <rPr>
        <i/>
        <sz val="10"/>
        <rFont val="Times New Roman Cyr"/>
        <family val="1"/>
        <charset val="204"/>
      </rPr>
      <t xml:space="preserve">В 2017 году  </t>
    </r>
    <r>
      <rPr>
        <i/>
        <u/>
        <sz val="10"/>
        <rFont val="Times New Roman Cyr"/>
        <charset val="204"/>
      </rPr>
      <t>в</t>
    </r>
    <r>
      <rPr>
        <b/>
        <i/>
        <u/>
        <sz val="10"/>
        <rFont val="Times New Roman Cyr"/>
        <charset val="204"/>
      </rPr>
      <t>едено</t>
    </r>
    <r>
      <rPr>
        <b/>
        <i/>
        <sz val="10"/>
        <rFont val="Times New Roman Cyr"/>
        <charset val="204"/>
      </rPr>
      <t xml:space="preserve"> 2 МКД (5 122,2 м2):</t>
    </r>
    <r>
      <rPr>
        <i/>
        <sz val="10"/>
        <rFont val="Times New Roman Cyr"/>
        <family val="1"/>
        <charset val="204"/>
      </rPr>
      <t xml:space="preserve">  по ул.Полярной  д.15 (2164,4 м2), Тыко-Вылко, д.11 (2957,8 кв.м.). По данным Департамента строит-ва, ЖКХ, энергетики и транспорта  НАО в 2018 году планируется ввести 6 многоквартирных домов общей площадью – 34,8 тыс. кв. м.(по ул.Ленина 5,4 тыс.м2, по ул.Авиаторов 19,6 тыс.м2, по ул. Пионерская 3 МКД площадью  3,4 тыс.м2 ,1,7 тыс. м2 и 0,986 тыс.м2, по ул.Первомайской 3,8 тыс.м2) В 2019 – 1 многоквартирный дом, площадью 2,555 тыс. кв.м. Данные о вводе в эксплуатацию многоквартирных домов в 2020 году отсутствуют. По данным Департамента строит-ва, ЖКХ, энергетики и транспорта  НАО ожидается ежегодно вводить по 20 тыс.м2 жилой S.             За 2017 год </t>
    </r>
    <r>
      <rPr>
        <i/>
        <u/>
        <sz val="10"/>
        <rFont val="Times New Roman Cyr"/>
        <charset val="204"/>
      </rPr>
      <t>р</t>
    </r>
    <r>
      <rPr>
        <b/>
        <i/>
        <u/>
        <sz val="10"/>
        <rFont val="Times New Roman Cyr"/>
        <charset val="204"/>
      </rPr>
      <t>асселено и/или снесено</t>
    </r>
    <r>
      <rPr>
        <i/>
        <sz val="10"/>
        <rFont val="Times New Roman Cyr"/>
        <family val="1"/>
        <charset val="204"/>
      </rPr>
      <t xml:space="preserve"> 20 МКД общей жилой площадью </t>
    </r>
    <r>
      <rPr>
        <b/>
        <i/>
        <sz val="10"/>
        <rFont val="Times New Roman Cyr"/>
        <charset val="204"/>
      </rPr>
      <t>7916,9 кв.м</t>
    </r>
    <r>
      <rPr>
        <i/>
        <sz val="10"/>
        <rFont val="Times New Roman Cyr"/>
        <family val="1"/>
        <charset val="204"/>
      </rPr>
      <t xml:space="preserve"> (Ленина, 44 (368,5); Зелёная, 16 (164,4); Смидовича 35А (57,2); Смидовича 32 (347,5); Хатанзейского, д.1а (498,1), д. 4 (510,4), д.16 (515,3), д. 18 (517,9), д.22 (532,7); Рыбацкий, д.16(330), д.20 (334), д.18 (333,1); Ленина, д.46а( 520,5), Меньшикова, д.6а (519,7), Октябрьская, д.35 (516,1), Пырерко, д. 2а (719,2), Рыбников, д.25 (338,5), Совхозная, д. 11 (476,8), д. 7 (119,8); Юбилейная, д.22а (197,2)).  В 2018 году из  реестра первого этапа планируется снести 20 домов, площадью 7 400 м.кв. За 2015, 2016 и 2017 года в среднем сносилось по 6 226 м. кв. ветхого жилья, Прогнозный показатель на 2019 и 2020 годы установлен на уровне среднегодового показателя.                                                                                        По отчету 1 -жилфонд за 2017 год </t>
    </r>
    <r>
      <rPr>
        <b/>
        <i/>
        <sz val="10"/>
        <rFont val="Times New Roman Cyr"/>
        <charset val="204"/>
      </rPr>
      <t>введено</t>
    </r>
    <r>
      <rPr>
        <i/>
        <sz val="10"/>
        <rFont val="Times New Roman Cyr"/>
        <family val="1"/>
        <charset val="204"/>
      </rPr>
      <t xml:space="preserve"> новой площади </t>
    </r>
    <r>
      <rPr>
        <b/>
        <i/>
        <u/>
        <sz val="10"/>
        <rFont val="Times New Roman Cyr"/>
        <charset val="204"/>
      </rPr>
      <t xml:space="preserve">ИЖД </t>
    </r>
    <r>
      <rPr>
        <i/>
        <sz val="10"/>
        <rFont val="Times New Roman Cyr"/>
        <family val="1"/>
        <charset val="204"/>
      </rPr>
      <t xml:space="preserve">и присвоено 24 адреса индивидуальным строениям общей площадью </t>
    </r>
    <r>
      <rPr>
        <b/>
        <i/>
        <sz val="10"/>
        <rFont val="Times New Roman Cyr"/>
        <charset val="204"/>
      </rPr>
      <t>3 773,4 м2</t>
    </r>
    <r>
      <rPr>
        <i/>
        <sz val="10"/>
        <rFont val="Times New Roman Cyr"/>
        <family val="1"/>
        <charset val="204"/>
      </rPr>
      <t xml:space="preserve">. В среднем в 2015- 2017 годах площадь вводимых в эксплуатацию жилых домов составляла  5 490,13 м. кв. Прогнозный показатель на 2018  установлен на уровне среднегодового показателя. Показатель на 2019-2020 год установлен по данным Департамента строит-ва, ЖКХ, энергетики и транспорта  НАО с ежегодным вводом по 10 тыс.м2 жилой S.  </t>
    </r>
  </si>
  <si>
    <r>
      <rPr>
        <u/>
        <sz val="10"/>
        <rFont val="Times New Roman Cyr"/>
        <charset val="204"/>
      </rPr>
      <t xml:space="preserve">По МКД: </t>
    </r>
    <r>
      <rPr>
        <sz val="10"/>
        <rFont val="Times New Roman Cyr"/>
        <family val="1"/>
        <charset val="204"/>
      </rPr>
      <t xml:space="preserve">В 2017 году  ведено 2 МКД (5 122,2 м2):  по ул.Полярной  д.15 (2164,4 м2), Тыко-Вылко, д.11 (2957,8 кв.м.). По данным Департамента строит-ва, ЖКХ, энергетики и транспорта  НАО в 2018 году планируется ввести 6 многоквартирных домов общей площадью – 34,8 тыс. кв. м.(по ул.Ленина 5,4 тыс.м2, по ул.Авиаторов 19,6 тыс.м2, по ул. Пионерская 3 МКД площадью  3,4 тыс.м2 ,1,7 тыс. м2 и 0,986 тыс.м2, по ул.Первомайской 3,8 тыс.м2) В 2019 – 1 многоквартирный дом, площадью 2,555 тыс. кв.м. Данные о вводе в эксплуатацию многоквартирных домов в 2020 году отсутствуют. По данным Департамента строит-ва, ЖКХ, энергетики и транспорта  НАО ожидается ежегодно вводить по 20 тыс.м2 жилой S.             За 2017 год расселено и/или снесено 20 МКД общей жилой площадью 7916,9 кв.м (Ленина, 44 (368,5); Зелёная, 16 (164,4); Смидовича 35А (57,2); Смидовича 32 (347,5); Хатанзейского, д.1а (498,1), д. 4 (510,4), д.16 (515,3), д. 18 (517,9), д.22 (532,7); Рыбацкий, д.16(330), д.20 (334), д.18 (333,1); Ленина, д.46а( 520,5), Меньшикова, д.6а (519,7), Октябрьская, д.35 (516,1), Пырерко, д. 2а (719,2), Рыбников, д.25 (338,5), Совхозная, д. 11 (476,8), д. 7 (119,8); Юбилейная, д.22а (197,2)).  В 2018 году из  реестра первого этапа планируется снести 20 домов, площадью 7 400 м.кв. За 2015, 2016 и 2017 года в среднем сносилось по 6 226 м. кв. ветхого жилья, Прогнозный показатель на 2019 и 2020 годы установлен на уровне среднегодового показателя.                                                                                        По отчету 1 -жилфонд за 2017 год введено новой площади ИЖД и присвоено 24 адреса индивидуальным строениям общей площадью 3 773,4 м2. В среднем в 2015- 2017 годах площадь вводимых в эксплуатацию жилых домов составляла  5 490,13 м. кв. Прогнозный показатель на 2018  установлен на уровне среднегодового показателя. Показатель на 2019-2020 год установлен по данным Департамента строит-ва, ЖКХ, энергетики и транспорта  НАО с ежегодным вводом по 10 тыс.м2 жилой S.                                                                                                                                                               По состоянию на 31.12.2017 в МО числится  10 </t>
    </r>
    <r>
      <rPr>
        <u/>
        <sz val="10"/>
        <rFont val="Times New Roman Cyr"/>
        <charset val="204"/>
      </rPr>
      <t>общежитий</t>
    </r>
    <r>
      <rPr>
        <sz val="10"/>
        <rFont val="Times New Roman Cyr"/>
        <family val="1"/>
        <charset val="204"/>
      </rPr>
      <t xml:space="preserve"> общей жилой площадью 5084,6 м2</t>
    </r>
  </si>
  <si>
    <t>по данным годового отчета 1-жилфонд по состоянию на 01.01.2018 составляла 81,5 тыс.м2, на на 01.01.2017 – 81,1 тыс.м2.
Прогнозные показатели установлены расчетным путем с сохранением сложившейся динамики, т.к. полномочия по строительсту жилфонда переданы в субъект Федерации.</t>
  </si>
  <si>
    <t xml:space="preserve">Показатель за 2017 год снизился по сравнению с 2016 годом в связи со снижением темпов строительства. В 2017 году введено два новых МКД общей жилой площадью (5 122,2 м2):  по ул.Полярной  д.15 (2164,4 м2), Тыко-Вылко, д.11 (2957,8 кв.м.), снесено и/или расселено 20 МКД общей площадью 7 916,9 кв.м2.Для сравнения, в 2016 году вводено в эксплуатацию два новых МКД общей жилой площадью 7 738,5 м2.( по ул.Швецова д.1 (6 383,7 м2), М. Баёва, д.13 (1 354,8 кв.м.)), снесено и/или расселено 11 МКД общей площадью 4 564,9 кв.м2.
По состоянию на 31.12.2017 в МО числится 383 (401+2-20) многоквартирный дом общей жилой площадью 489 387,4 м2 и 851 (827+24) индивидуальных жилых домов общей жилой площадью 117 595,4 м2, 10 общежитий общей жилой площадью 5 084,6 кв.м.                                                                                                       По данным Департамента строительства, ЖКХ, энергетики и транспорта  НАО в 2018 году планируется ввести в эксплуатацию 6 МКД общей площадью 34,8 тыс. кв. м. (по ул. Ленина 5,4 тыс.кв.м, по ул. Авиаторов 19,6 тыс.кв.м, по ул. Пионерская 3 МКД площадью 3,4 тыс.кв.м, 1,7 тыс.кв.м и 0,986 тыс.кв.м, по ул.Первомайской 3,8 тыс.кв.м). Прогнозный показатель S вводимых в эксплуатацию жилых домов определен  по среднегодовому приросту в размере 5 490,13 м. кв. В 2018 году из  реестра первого этапа планируется снести 20 домов, площадью 7 400 м.кв. 
По данным Департамента строительства, ЖКХ, энергетики и транспорта  НАО в в 2019 планируется ввести в эксплуатацию 1 МКД  площадью 2,555 тыс. кв.м, в 2020 - 20 тыс. кв.м. Прогнозный показатель площади вводимых в эксплуатацию жилых домов и планируемых к сносу и/или расселению определен по среднегодовому показателю. 
</t>
  </si>
  <si>
    <t>Предварительный прогноз социально-экономического развития МО "Городской округ "Город Нарьян-Мар" на 2018 год и плановый период 2019-2021 годов</t>
  </si>
  <si>
    <t>по итогам за  2017 года до 15.04.2018</t>
  </si>
</sst>
</file>

<file path=xl/styles.xml><?xml version="1.0" encoding="utf-8"?>
<styleSheet xmlns="http://schemas.openxmlformats.org/spreadsheetml/2006/main">
  <numFmts count="11">
    <numFmt numFmtId="164" formatCode="0.0"/>
    <numFmt numFmtId="165" formatCode="_(* #,##0.00_);_(* \(#,##0.00\);_(* &quot;-&quot;??_);_(@_)"/>
    <numFmt numFmtId="166" formatCode="0.0%"/>
    <numFmt numFmtId="167" formatCode="#,##0.0"/>
    <numFmt numFmtId="168" formatCode="_(* #,##0.0_);_(* \(#,##0.0\);_(* &quot;-&quot;??_);_(@_)"/>
    <numFmt numFmtId="169" formatCode="_(* #,##0_);_(* \(#,##0\);_(* &quot;-&quot;??_);_(@_)"/>
    <numFmt numFmtId="170" formatCode="0.000"/>
    <numFmt numFmtId="171" formatCode="#,##0.000"/>
    <numFmt numFmtId="172" formatCode="_-* #,##0.000_р_._-;\-* #,##0.000_р_._-;_-* &quot;-&quot;???_р_._-;_-@_-"/>
    <numFmt numFmtId="173" formatCode="_-* #,##0.000_р_._-;\-* #,##0.000_р_._-;_-* &quot;-&quot;?_р_._-;_-@_-"/>
    <numFmt numFmtId="174" formatCode="_(* #,##0.000_);_(* \(#,##0.000\);_(* &quot;-&quot;??_);_(@_)"/>
  </numFmts>
  <fonts count="34">
    <font>
      <sz val="10"/>
      <name val="Arial"/>
    </font>
    <font>
      <sz val="10"/>
      <name val="Arial"/>
      <family val="2"/>
      <charset val="204"/>
    </font>
    <font>
      <sz val="10"/>
      <name val="Times New Roman Cyr"/>
      <family val="1"/>
      <charset val="204"/>
    </font>
    <font>
      <b/>
      <sz val="11"/>
      <name val="Times New Roman CYR"/>
      <family val="1"/>
      <charset val="204"/>
    </font>
    <font>
      <sz val="11"/>
      <name val="Times New Roman Cyr"/>
      <family val="1"/>
      <charset val="204"/>
    </font>
    <font>
      <b/>
      <sz val="11"/>
      <name val="Times New Roman"/>
      <family val="1"/>
    </font>
    <font>
      <sz val="11"/>
      <name val="Arial"/>
      <family val="2"/>
      <charset val="204"/>
    </font>
    <font>
      <sz val="11"/>
      <name val="Times New Roman"/>
      <family val="1"/>
      <charset val="204"/>
    </font>
    <font>
      <b/>
      <sz val="11"/>
      <name val="Times New Roman"/>
      <family val="1"/>
      <charset val="204"/>
    </font>
    <font>
      <i/>
      <sz val="11"/>
      <name val="Times New Roman CYR"/>
      <family val="1"/>
      <charset val="204"/>
    </font>
    <font>
      <i/>
      <u/>
      <sz val="11"/>
      <name val="Times New Roman CYR"/>
      <family val="1"/>
      <charset val="204"/>
    </font>
    <font>
      <b/>
      <sz val="11"/>
      <name val="Times New Roman CYR"/>
      <charset val="204"/>
    </font>
    <font>
      <b/>
      <sz val="11"/>
      <color rgb="FFFF0000"/>
      <name val="Times New Roman CYR"/>
      <charset val="204"/>
    </font>
    <font>
      <b/>
      <sz val="10"/>
      <name val="Times New Roman Cyr"/>
      <charset val="204"/>
    </font>
    <font>
      <b/>
      <sz val="11"/>
      <color rgb="FFFF0000"/>
      <name val="Times New Roman CYR"/>
      <family val="1"/>
      <charset val="204"/>
    </font>
    <font>
      <b/>
      <sz val="10"/>
      <name val="Times New Roman CYR"/>
      <family val="1"/>
      <charset val="204"/>
    </font>
    <font>
      <b/>
      <sz val="10"/>
      <name val="Times New Roman"/>
      <family val="1"/>
    </font>
    <font>
      <sz val="11"/>
      <color rgb="FFFF0000"/>
      <name val="Times New Roman Cyr"/>
      <family val="1"/>
      <charset val="204"/>
    </font>
    <font>
      <sz val="12"/>
      <color rgb="FFFF0000"/>
      <name val="Times New Roman Cyr"/>
      <family val="1"/>
      <charset val="204"/>
    </font>
    <font>
      <sz val="11"/>
      <color rgb="FFFF0000"/>
      <name val="Times New Roman"/>
      <family val="1"/>
      <charset val="204"/>
    </font>
    <font>
      <sz val="10"/>
      <name val="Times New Roman"/>
      <family val="1"/>
      <charset val="204"/>
    </font>
    <font>
      <b/>
      <sz val="9"/>
      <color indexed="81"/>
      <name val="Tahoma"/>
      <family val="2"/>
      <charset val="204"/>
    </font>
    <font>
      <sz val="9"/>
      <color indexed="81"/>
      <name val="Tahoma"/>
      <family val="2"/>
      <charset val="204"/>
    </font>
    <font>
      <sz val="10"/>
      <name val="Times New Roman Cyr"/>
      <charset val="204"/>
    </font>
    <font>
      <u/>
      <sz val="10"/>
      <name val="Times New Roman Cyr"/>
      <charset val="204"/>
    </font>
    <font>
      <i/>
      <sz val="11"/>
      <name val="Times New Roman"/>
      <family val="1"/>
      <charset val="204"/>
    </font>
    <font>
      <i/>
      <sz val="10"/>
      <name val="Times New Roman Cyr"/>
      <family val="1"/>
      <charset val="204"/>
    </font>
    <font>
      <i/>
      <u/>
      <sz val="10"/>
      <name val="Times New Roman Cyr"/>
      <charset val="204"/>
    </font>
    <font>
      <i/>
      <sz val="10"/>
      <name val="Times New Roman Cyr"/>
      <charset val="204"/>
    </font>
    <font>
      <i/>
      <sz val="10"/>
      <name val="Times New Roman"/>
      <family val="1"/>
      <charset val="204"/>
    </font>
    <font>
      <b/>
      <i/>
      <sz val="10"/>
      <name val="Times New Roman Cyr"/>
      <charset val="204"/>
    </font>
    <font>
      <i/>
      <sz val="10"/>
      <color rgb="FFFF0000"/>
      <name val="Times New Roman Cyr"/>
      <family val="1"/>
      <charset val="204"/>
    </font>
    <font>
      <sz val="12"/>
      <name val="Times New Roman"/>
      <family val="1"/>
      <charset val="204"/>
    </font>
    <font>
      <b/>
      <i/>
      <u/>
      <sz val="10"/>
      <name val="Times New Roman Cyr"/>
      <charset val="204"/>
    </font>
  </fonts>
  <fills count="5">
    <fill>
      <patternFill patternType="none"/>
    </fill>
    <fill>
      <patternFill patternType="gray125"/>
    </fill>
    <fill>
      <patternFill patternType="solid">
        <fgColor theme="0"/>
        <bgColor indexed="64"/>
      </patternFill>
    </fill>
    <fill>
      <patternFill patternType="solid">
        <fgColor theme="0"/>
        <bgColor indexed="34"/>
      </patternFill>
    </fill>
    <fill>
      <patternFill patternType="solid">
        <fgColor theme="0"/>
        <bgColor indexed="26"/>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86">
    <xf numFmtId="0" fontId="0" fillId="0" borderId="0" xfId="0"/>
    <xf numFmtId="0" fontId="7" fillId="2" borderId="2" xfId="0" applyFont="1" applyFill="1" applyBorder="1" applyAlignment="1">
      <alignment horizontal="justify" vertical="top" wrapText="1"/>
    </xf>
    <xf numFmtId="1" fontId="2" fillId="2" borderId="2" xfId="1" applyNumberFormat="1" applyFont="1" applyFill="1" applyBorder="1" applyAlignment="1">
      <alignment horizontal="center"/>
    </xf>
    <xf numFmtId="164" fontId="4" fillId="2" borderId="2" xfId="1" applyNumberFormat="1" applyFont="1" applyFill="1" applyBorder="1" applyAlignment="1">
      <alignment horizontal="center"/>
    </xf>
    <xf numFmtId="167" fontId="7" fillId="3" borderId="2" xfId="0" applyNumberFormat="1" applyFont="1" applyFill="1" applyBorder="1" applyAlignment="1">
      <alignment horizontal="center"/>
    </xf>
    <xf numFmtId="0" fontId="4" fillId="2" borderId="0" xfId="0" applyFont="1" applyFill="1" applyAlignment="1">
      <alignment horizontal="center"/>
    </xf>
    <xf numFmtId="0" fontId="4" fillId="2" borderId="2" xfId="0" applyFont="1" applyFill="1" applyBorder="1" applyAlignment="1">
      <alignment horizontal="center"/>
    </xf>
    <xf numFmtId="0" fontId="4" fillId="2" borderId="0" xfId="0" applyFont="1" applyFill="1" applyBorder="1" applyAlignment="1">
      <alignment horizontal="center"/>
    </xf>
    <xf numFmtId="168" fontId="4" fillId="2" borderId="2" xfId="1" applyNumberFormat="1" applyFont="1" applyFill="1" applyBorder="1" applyAlignment="1">
      <alignment horizontal="center"/>
    </xf>
    <xf numFmtId="167" fontId="2" fillId="2" borderId="2" xfId="1" applyNumberFormat="1" applyFont="1" applyFill="1" applyBorder="1" applyAlignment="1">
      <alignment horizontal="center"/>
    </xf>
    <xf numFmtId="167" fontId="4" fillId="2" borderId="2" xfId="1" applyNumberFormat="1" applyFont="1" applyFill="1" applyBorder="1" applyAlignment="1">
      <alignment horizontal="center"/>
    </xf>
    <xf numFmtId="165" fontId="6" fillId="2" borderId="0" xfId="1" applyFont="1" applyFill="1" applyAlignment="1">
      <alignment horizontal="center"/>
    </xf>
    <xf numFmtId="0" fontId="6" fillId="2" borderId="0" xfId="0" applyFont="1" applyFill="1" applyBorder="1" applyAlignment="1">
      <alignment horizontal="center"/>
    </xf>
    <xf numFmtId="0" fontId="6" fillId="2" borderId="0" xfId="0" applyFont="1" applyFill="1" applyAlignment="1">
      <alignment horizontal="center"/>
    </xf>
    <xf numFmtId="1" fontId="2" fillId="2" borderId="2" xfId="1" applyNumberFormat="1" applyFont="1" applyFill="1" applyBorder="1" applyAlignment="1">
      <alignment horizontal="center" wrapText="1"/>
    </xf>
    <xf numFmtId="0" fontId="7" fillId="2" borderId="2" xfId="0" applyFont="1" applyFill="1" applyBorder="1" applyAlignment="1">
      <alignment horizontal="center" vertical="top"/>
    </xf>
    <xf numFmtId="4" fontId="4" fillId="2" borderId="2" xfId="1" applyNumberFormat="1" applyFont="1" applyFill="1" applyBorder="1" applyAlignment="1">
      <alignment horizontal="center"/>
    </xf>
    <xf numFmtId="4" fontId="2" fillId="2" borderId="2" xfId="1" applyNumberFormat="1" applyFont="1" applyFill="1" applyBorder="1" applyAlignment="1">
      <alignment horizontal="center"/>
    </xf>
    <xf numFmtId="168" fontId="4" fillId="2" borderId="2" xfId="0" applyNumberFormat="1" applyFont="1" applyFill="1" applyBorder="1" applyAlignment="1">
      <alignment horizontal="center"/>
    </xf>
    <xf numFmtId="164" fontId="4" fillId="2" borderId="0" xfId="0" applyNumberFormat="1" applyFont="1" applyFill="1" applyAlignment="1">
      <alignment horizontal="center"/>
    </xf>
    <xf numFmtId="164" fontId="3" fillId="2" borderId="2" xfId="0" applyNumberFormat="1" applyFont="1" applyFill="1" applyBorder="1" applyAlignment="1">
      <alignment horizontal="center" vertical="top"/>
    </xf>
    <xf numFmtId="164" fontId="3" fillId="2" borderId="2"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2" fontId="4" fillId="2" borderId="2" xfId="1" applyNumberFormat="1" applyFont="1" applyFill="1" applyBorder="1" applyAlignment="1">
      <alignment horizontal="center"/>
    </xf>
    <xf numFmtId="168" fontId="7" fillId="2" borderId="2" xfId="1" applyNumberFormat="1" applyFont="1" applyFill="1" applyBorder="1" applyAlignment="1">
      <alignment horizontal="center" wrapText="1"/>
    </xf>
    <xf numFmtId="1" fontId="4" fillId="2" borderId="2" xfId="1" applyNumberFormat="1" applyFont="1" applyFill="1" applyBorder="1" applyAlignment="1">
      <alignment horizontal="center"/>
    </xf>
    <xf numFmtId="1" fontId="4" fillId="2" borderId="0" xfId="0" applyNumberFormat="1" applyFont="1" applyFill="1" applyAlignment="1">
      <alignment horizontal="center"/>
    </xf>
    <xf numFmtId="170" fontId="7" fillId="2" borderId="7" xfId="0" applyNumberFormat="1" applyFont="1" applyFill="1" applyBorder="1" applyAlignment="1">
      <alignment horizontal="center"/>
    </xf>
    <xf numFmtId="170" fontId="4" fillId="2" borderId="2" xfId="1" applyNumberFormat="1" applyFont="1" applyFill="1" applyBorder="1" applyAlignment="1">
      <alignment horizontal="center"/>
    </xf>
    <xf numFmtId="164" fontId="4" fillId="2" borderId="2" xfId="1" applyNumberFormat="1" applyFont="1" applyFill="1" applyBorder="1" applyAlignment="1">
      <alignment horizontal="center" wrapText="1"/>
    </xf>
    <xf numFmtId="0" fontId="0" fillId="2" borderId="2" xfId="0" applyFill="1" applyBorder="1" applyAlignment="1">
      <alignment horizontal="center"/>
    </xf>
    <xf numFmtId="167" fontId="4" fillId="2" borderId="2" xfId="1" applyNumberFormat="1" applyFont="1" applyFill="1" applyBorder="1" applyAlignment="1">
      <alignment horizontal="center" wrapText="1"/>
    </xf>
    <xf numFmtId="167" fontId="12" fillId="2" borderId="2" xfId="1" applyNumberFormat="1" applyFont="1" applyFill="1" applyBorder="1" applyAlignment="1">
      <alignment horizontal="center"/>
    </xf>
    <xf numFmtId="2" fontId="4" fillId="2" borderId="2" xfId="1" applyNumberFormat="1" applyFont="1" applyFill="1" applyBorder="1" applyAlignment="1">
      <alignment horizontal="center" wrapText="1"/>
    </xf>
    <xf numFmtId="0" fontId="0" fillId="2" borderId="0" xfId="0" applyFill="1" applyAlignment="1">
      <alignment horizontal="center"/>
    </xf>
    <xf numFmtId="0" fontId="4" fillId="2" borderId="0" xfId="0" applyFont="1" applyFill="1"/>
    <xf numFmtId="0" fontId="4" fillId="2" borderId="0" xfId="0" applyFont="1" applyFill="1" applyAlignment="1">
      <alignment horizontal="right" wrapText="1"/>
    </xf>
    <xf numFmtId="0" fontId="3" fillId="2" borderId="0" xfId="0" applyFont="1" applyFill="1" applyAlignment="1">
      <alignment horizontal="center"/>
    </xf>
    <xf numFmtId="164" fontId="14" fillId="2" borderId="2" xfId="0" applyNumberFormat="1" applyFont="1" applyFill="1" applyBorder="1" applyAlignment="1">
      <alignment horizontal="center" vertical="top" wrapText="1"/>
    </xf>
    <xf numFmtId="164" fontId="15" fillId="2" borderId="2" xfId="0" applyNumberFormat="1" applyFont="1" applyFill="1" applyBorder="1" applyAlignment="1">
      <alignment horizontal="center" vertical="top" wrapText="1"/>
    </xf>
    <xf numFmtId="0" fontId="16" fillId="2" borderId="2" xfId="0" applyFont="1" applyFill="1" applyBorder="1" applyAlignment="1">
      <alignment horizontal="center" vertical="top" wrapText="1"/>
    </xf>
    <xf numFmtId="170" fontId="3" fillId="2" borderId="2" xfId="0" applyNumberFormat="1" applyFont="1" applyFill="1" applyBorder="1" applyAlignment="1">
      <alignment horizontal="center" vertical="top" wrapText="1"/>
    </xf>
    <xf numFmtId="170" fontId="3" fillId="2" borderId="2" xfId="0" applyNumberFormat="1" applyFont="1" applyFill="1" applyBorder="1" applyAlignment="1">
      <alignment horizontal="center" vertical="top"/>
    </xf>
    <xf numFmtId="0" fontId="3" fillId="2" borderId="2" xfId="0" applyFont="1" applyFill="1" applyBorder="1" applyAlignment="1">
      <alignment wrapText="1"/>
    </xf>
    <xf numFmtId="0" fontId="6" fillId="2" borderId="2" xfId="0" applyFont="1" applyFill="1" applyBorder="1" applyAlignment="1">
      <alignment wrapText="1"/>
    </xf>
    <xf numFmtId="0" fontId="6" fillId="2" borderId="2" xfId="0" applyFont="1" applyFill="1" applyBorder="1" applyAlignment="1">
      <alignment horizontal="center" wrapText="1"/>
    </xf>
    <xf numFmtId="170" fontId="17" fillId="2" borderId="2" xfId="1" applyNumberFormat="1" applyFont="1" applyFill="1" applyBorder="1" applyAlignment="1">
      <alignment horizontal="center"/>
    </xf>
    <xf numFmtId="166" fontId="4" fillId="2" borderId="2" xfId="2" applyNumberFormat="1" applyFont="1" applyFill="1" applyBorder="1" applyAlignment="1">
      <alignment horizontal="center"/>
    </xf>
    <xf numFmtId="164" fontId="4" fillId="2" borderId="2" xfId="0" applyNumberFormat="1" applyFont="1" applyFill="1" applyBorder="1" applyAlignment="1">
      <alignment horizontal="center" wrapText="1"/>
    </xf>
    <xf numFmtId="164" fontId="17" fillId="2" borderId="2" xfId="1" applyNumberFormat="1" applyFont="1" applyFill="1" applyBorder="1" applyAlignment="1">
      <alignment horizontal="center"/>
    </xf>
    <xf numFmtId="0" fontId="8" fillId="2" borderId="2" xfId="0" applyFont="1" applyFill="1" applyBorder="1" applyAlignment="1">
      <alignment horizontal="justify" vertical="top" wrapText="1"/>
    </xf>
    <xf numFmtId="168" fontId="17" fillId="2" borderId="2" xfId="1" applyNumberFormat="1" applyFont="1" applyFill="1" applyBorder="1" applyAlignment="1">
      <alignment horizontal="center"/>
    </xf>
    <xf numFmtId="170" fontId="7" fillId="2" borderId="2" xfId="0" applyNumberFormat="1" applyFont="1" applyFill="1" applyBorder="1" applyAlignment="1">
      <alignment horizontal="center"/>
    </xf>
    <xf numFmtId="171" fontId="7" fillId="2" borderId="7" xfId="0" applyNumberFormat="1" applyFont="1" applyFill="1" applyBorder="1" applyAlignment="1">
      <alignment horizontal="center"/>
    </xf>
    <xf numFmtId="3" fontId="4" fillId="2" borderId="2" xfId="1" applyNumberFormat="1" applyFont="1" applyFill="1" applyBorder="1" applyAlignment="1">
      <alignment horizontal="center"/>
    </xf>
    <xf numFmtId="171" fontId="7" fillId="2" borderId="2" xfId="0" applyNumberFormat="1" applyFont="1" applyFill="1" applyBorder="1" applyAlignment="1">
      <alignment horizontal="center"/>
    </xf>
    <xf numFmtId="171" fontId="4" fillId="2" borderId="2" xfId="1" applyNumberFormat="1" applyFont="1" applyFill="1" applyBorder="1" applyAlignment="1">
      <alignment horizontal="center"/>
    </xf>
    <xf numFmtId="167" fontId="7" fillId="2" borderId="2" xfId="0" applyNumberFormat="1" applyFont="1" applyFill="1" applyBorder="1" applyAlignment="1">
      <alignment horizontal="center"/>
    </xf>
    <xf numFmtId="1" fontId="17" fillId="2" borderId="2" xfId="1" applyNumberFormat="1" applyFont="1" applyFill="1" applyBorder="1" applyAlignment="1">
      <alignment horizontal="center"/>
    </xf>
    <xf numFmtId="1" fontId="4" fillId="2" borderId="2" xfId="1" applyNumberFormat="1" applyFont="1" applyFill="1" applyBorder="1" applyAlignment="1">
      <alignment horizontal="center" wrapText="1"/>
    </xf>
    <xf numFmtId="0" fontId="7" fillId="2" borderId="2" xfId="0" applyFont="1" applyFill="1" applyBorder="1" applyAlignment="1">
      <alignment horizontal="left" vertical="top" wrapText="1"/>
    </xf>
    <xf numFmtId="0" fontId="7" fillId="2" borderId="2" xfId="0" applyFont="1" applyFill="1" applyBorder="1" applyAlignment="1">
      <alignment horizontal="left" vertical="top"/>
    </xf>
    <xf numFmtId="0" fontId="19" fillId="2" borderId="2" xfId="0" applyFont="1" applyFill="1" applyBorder="1" applyAlignment="1">
      <alignment horizontal="center"/>
    </xf>
    <xf numFmtId="0" fontId="7" fillId="2" borderId="2" xfId="0" applyFont="1" applyFill="1" applyBorder="1" applyAlignment="1">
      <alignment horizontal="center"/>
    </xf>
    <xf numFmtId="0" fontId="7" fillId="2" borderId="2" xfId="0" applyFont="1" applyFill="1" applyBorder="1" applyAlignment="1">
      <alignment horizontal="center" wrapText="1"/>
    </xf>
    <xf numFmtId="164" fontId="6" fillId="2" borderId="2" xfId="0" applyNumberFormat="1" applyFont="1" applyFill="1" applyBorder="1" applyAlignment="1">
      <alignment horizontal="center" wrapText="1"/>
    </xf>
    <xf numFmtId="49" fontId="4" fillId="2" borderId="2" xfId="1" applyNumberFormat="1" applyFont="1" applyFill="1" applyBorder="1" applyAlignment="1">
      <alignment horizontal="center"/>
    </xf>
    <xf numFmtId="0" fontId="6" fillId="2" borderId="0" xfId="0" applyFont="1" applyFill="1" applyBorder="1" applyAlignment="1"/>
    <xf numFmtId="0" fontId="9" fillId="2" borderId="0" xfId="0" applyFont="1" applyFill="1" applyBorder="1" applyAlignment="1">
      <alignment wrapText="1"/>
    </xf>
    <xf numFmtId="0" fontId="9" fillId="2" borderId="1" xfId="0" applyFont="1" applyFill="1" applyBorder="1" applyAlignment="1">
      <alignment wrapText="1"/>
    </xf>
    <xf numFmtId="0" fontId="9" fillId="2" borderId="3" xfId="0" applyFont="1" applyFill="1" applyBorder="1" applyAlignment="1">
      <alignment wrapText="1"/>
    </xf>
    <xf numFmtId="1" fontId="4" fillId="2" borderId="0" xfId="0" applyNumberFormat="1" applyFont="1" applyFill="1"/>
    <xf numFmtId="49" fontId="7" fillId="2" borderId="2" xfId="0" applyNumberFormat="1" applyFont="1" applyFill="1" applyBorder="1" applyAlignment="1">
      <alignment horizontal="left" vertical="top" wrapText="1"/>
    </xf>
    <xf numFmtId="0" fontId="8" fillId="2" borderId="2" xfId="0" applyFont="1" applyFill="1" applyBorder="1" applyAlignment="1">
      <alignment horizontal="left" vertical="top" wrapText="1"/>
    </xf>
    <xf numFmtId="1" fontId="7" fillId="2" borderId="2" xfId="0" applyNumberFormat="1" applyFont="1" applyFill="1" applyBorder="1" applyAlignment="1">
      <alignment horizontal="center"/>
    </xf>
    <xf numFmtId="166" fontId="4" fillId="2" borderId="2" xfId="2" applyNumberFormat="1" applyFont="1" applyFill="1" applyBorder="1" applyAlignment="1">
      <alignment horizontal="center" wrapText="1"/>
    </xf>
    <xf numFmtId="164" fontId="7" fillId="2" borderId="2" xfId="0" applyNumberFormat="1" applyFont="1" applyFill="1" applyBorder="1" applyAlignment="1">
      <alignment horizontal="center"/>
    </xf>
    <xf numFmtId="0" fontId="7" fillId="3" borderId="2" xfId="0" applyFont="1" applyFill="1" applyBorder="1" applyAlignment="1">
      <alignment horizontal="center"/>
    </xf>
    <xf numFmtId="3" fontId="7" fillId="2" borderId="2" xfId="0" applyNumberFormat="1" applyFont="1" applyFill="1" applyBorder="1" applyAlignment="1">
      <alignment horizontal="center"/>
    </xf>
    <xf numFmtId="167" fontId="7" fillId="4" borderId="2" xfId="0" applyNumberFormat="1" applyFont="1" applyFill="1" applyBorder="1" applyAlignment="1">
      <alignment horizontal="center"/>
    </xf>
    <xf numFmtId="167" fontId="7" fillId="2" borderId="2" xfId="1" applyNumberFormat="1" applyFont="1" applyFill="1" applyBorder="1" applyAlignment="1">
      <alignment horizontal="center" wrapText="1"/>
    </xf>
    <xf numFmtId="167" fontId="7" fillId="2" borderId="2" xfId="1" applyNumberFormat="1" applyFont="1" applyFill="1" applyBorder="1" applyAlignment="1">
      <alignment horizontal="center"/>
    </xf>
    <xf numFmtId="0" fontId="4" fillId="2" borderId="2" xfId="0" applyFont="1" applyFill="1" applyBorder="1" applyAlignment="1">
      <alignment horizontal="center" vertical="top"/>
    </xf>
    <xf numFmtId="14" fontId="4" fillId="2" borderId="2" xfId="0" applyNumberFormat="1" applyFont="1" applyFill="1" applyBorder="1" applyAlignment="1">
      <alignment horizontal="center" vertical="top"/>
    </xf>
    <xf numFmtId="0" fontId="4" fillId="2" borderId="6" xfId="0" applyFont="1" applyFill="1" applyBorder="1" applyAlignment="1">
      <alignment horizontal="center" vertical="top"/>
    </xf>
    <xf numFmtId="0" fontId="3" fillId="2" borderId="2" xfId="0" applyFont="1" applyFill="1" applyBorder="1" applyAlignment="1">
      <alignment horizontal="center" vertical="top"/>
    </xf>
    <xf numFmtId="169" fontId="4" fillId="2" borderId="2" xfId="1" applyNumberFormat="1" applyFont="1" applyFill="1" applyBorder="1" applyAlignment="1">
      <alignment horizontal="center"/>
    </xf>
    <xf numFmtId="166" fontId="4" fillId="2" borderId="0" xfId="2" applyNumberFormat="1" applyFont="1" applyFill="1" applyAlignment="1"/>
    <xf numFmtId="0" fontId="2" fillId="2" borderId="0" xfId="0" applyFont="1" applyFill="1"/>
    <xf numFmtId="2" fontId="7" fillId="2" borderId="2" xfId="0" applyNumberFormat="1" applyFont="1" applyFill="1" applyBorder="1" applyAlignment="1">
      <alignment horizontal="center"/>
    </xf>
    <xf numFmtId="173" fontId="6" fillId="2" borderId="2" xfId="0" applyNumberFormat="1" applyFont="1" applyFill="1" applyBorder="1" applyAlignment="1">
      <alignment horizontal="center" wrapText="1"/>
    </xf>
    <xf numFmtId="169" fontId="7" fillId="2" borderId="2" xfId="0" applyNumberFormat="1" applyFont="1" applyFill="1" applyBorder="1" applyAlignment="1">
      <alignment horizontal="center"/>
    </xf>
    <xf numFmtId="0" fontId="26" fillId="2" borderId="0" xfId="0" applyFont="1" applyFill="1"/>
    <xf numFmtId="0" fontId="4" fillId="2" borderId="0" xfId="0" applyFont="1" applyFill="1" applyBorder="1" applyAlignment="1">
      <alignment horizontal="left" wrapText="1"/>
    </xf>
    <xf numFmtId="164" fontId="4" fillId="2" borderId="0" xfId="0" applyNumberFormat="1" applyFont="1" applyFill="1" applyBorder="1" applyAlignment="1">
      <alignment horizontal="center"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26" fillId="2" borderId="2" xfId="0" applyFont="1" applyFill="1" applyBorder="1" applyAlignment="1">
      <alignment horizontal="center" vertical="top"/>
    </xf>
    <xf numFmtId="0" fontId="29" fillId="2" borderId="2" xfId="0" applyFont="1" applyFill="1" applyBorder="1" applyAlignment="1">
      <alignment horizontal="left" vertical="top" wrapText="1"/>
    </xf>
    <xf numFmtId="0" fontId="26" fillId="2" borderId="2" xfId="0" applyFont="1" applyFill="1" applyBorder="1" applyAlignment="1">
      <alignment horizontal="center"/>
    </xf>
    <xf numFmtId="1" fontId="26" fillId="2" borderId="2" xfId="1" applyNumberFormat="1" applyFont="1" applyFill="1" applyBorder="1" applyAlignment="1">
      <alignment horizontal="center"/>
    </xf>
    <xf numFmtId="170" fontId="26" fillId="2" borderId="2" xfId="1" applyNumberFormat="1" applyFont="1" applyFill="1" applyBorder="1" applyAlignment="1">
      <alignment horizontal="center"/>
    </xf>
    <xf numFmtId="164" fontId="26" fillId="2" borderId="2" xfId="1" applyNumberFormat="1" applyFont="1" applyFill="1" applyBorder="1" applyAlignment="1">
      <alignment horizontal="center"/>
    </xf>
    <xf numFmtId="2" fontId="26" fillId="2" borderId="2" xfId="1" applyNumberFormat="1" applyFont="1" applyFill="1" applyBorder="1" applyAlignment="1">
      <alignment horizontal="center" wrapText="1"/>
    </xf>
    <xf numFmtId="164" fontId="26" fillId="2" borderId="2" xfId="1" applyNumberFormat="1" applyFont="1" applyFill="1" applyBorder="1" applyAlignment="1">
      <alignment horizontal="center" wrapText="1"/>
    </xf>
    <xf numFmtId="167" fontId="26" fillId="2" borderId="2" xfId="1" applyNumberFormat="1" applyFont="1" applyFill="1" applyBorder="1" applyAlignment="1">
      <alignment horizontal="center" wrapText="1"/>
    </xf>
    <xf numFmtId="167" fontId="26" fillId="2" borderId="2" xfId="0" applyNumberFormat="1" applyFont="1" applyFill="1" applyBorder="1" applyAlignment="1">
      <alignment horizontal="center"/>
    </xf>
    <xf numFmtId="167" fontId="26" fillId="2" borderId="2" xfId="1" applyNumberFormat="1" applyFont="1" applyFill="1" applyBorder="1" applyAlignment="1">
      <alignment horizontal="center"/>
    </xf>
    <xf numFmtId="0" fontId="26" fillId="2" borderId="8" xfId="0" applyFont="1" applyFill="1" applyBorder="1" applyAlignment="1">
      <alignment vertical="top" wrapText="1"/>
    </xf>
    <xf numFmtId="166" fontId="31" fillId="2" borderId="0" xfId="2" applyNumberFormat="1" applyFont="1" applyFill="1" applyAlignment="1"/>
    <xf numFmtId="166" fontId="26" fillId="2" borderId="0" xfId="2" applyNumberFormat="1" applyFont="1" applyFill="1" applyAlignment="1"/>
    <xf numFmtId="0" fontId="23" fillId="2" borderId="8" xfId="0" applyFont="1" applyFill="1" applyBorder="1" applyAlignment="1">
      <alignment vertical="top" wrapText="1"/>
    </xf>
    <xf numFmtId="0" fontId="9" fillId="2" borderId="2" xfId="0" applyFont="1" applyFill="1" applyBorder="1" applyAlignment="1">
      <alignment horizontal="center" vertical="top"/>
    </xf>
    <xf numFmtId="0" fontId="25" fillId="2" borderId="2" xfId="0" applyFont="1" applyFill="1" applyBorder="1" applyAlignment="1">
      <alignment horizontal="left" vertical="top" wrapText="1"/>
    </xf>
    <xf numFmtId="0" fontId="9" fillId="2" borderId="2" xfId="0" applyFont="1" applyFill="1" applyBorder="1" applyAlignment="1">
      <alignment horizontal="center"/>
    </xf>
    <xf numFmtId="169" fontId="9" fillId="2" borderId="2" xfId="1" applyNumberFormat="1" applyFont="1" applyFill="1" applyBorder="1" applyAlignment="1">
      <alignment horizontal="center"/>
    </xf>
    <xf numFmtId="1" fontId="9" fillId="2" borderId="2" xfId="1" applyNumberFormat="1" applyFont="1" applyFill="1" applyBorder="1" applyAlignment="1">
      <alignment horizontal="center"/>
    </xf>
    <xf numFmtId="164" fontId="9" fillId="2" borderId="2" xfId="1" applyNumberFormat="1" applyFont="1" applyFill="1" applyBorder="1" applyAlignment="1">
      <alignment horizontal="center"/>
    </xf>
    <xf numFmtId="164" fontId="9" fillId="2" borderId="2" xfId="1" applyNumberFormat="1" applyFont="1" applyFill="1" applyBorder="1" applyAlignment="1">
      <alignment horizontal="center" wrapText="1"/>
    </xf>
    <xf numFmtId="4" fontId="29" fillId="2" borderId="2" xfId="0" applyNumberFormat="1" applyFont="1" applyFill="1" applyBorder="1" applyAlignment="1">
      <alignment horizontal="center"/>
    </xf>
    <xf numFmtId="2" fontId="9" fillId="2" borderId="2" xfId="1" applyNumberFormat="1" applyFont="1" applyFill="1" applyBorder="1" applyAlignment="1">
      <alignment horizontal="center" wrapText="1"/>
    </xf>
    <xf numFmtId="167" fontId="9" fillId="2" borderId="2" xfId="1" applyNumberFormat="1" applyFont="1" applyFill="1" applyBorder="1" applyAlignment="1">
      <alignment horizontal="center" wrapText="1"/>
    </xf>
    <xf numFmtId="167" fontId="9" fillId="2" borderId="2" xfId="1" applyNumberFormat="1" applyFont="1" applyFill="1" applyBorder="1" applyAlignment="1">
      <alignment horizontal="center"/>
    </xf>
    <xf numFmtId="166" fontId="9" fillId="2" borderId="0" xfId="2" applyNumberFormat="1" applyFont="1" applyFill="1" applyAlignment="1"/>
    <xf numFmtId="0" fontId="0" fillId="2" borderId="0" xfId="0" applyFill="1" applyAlignment="1">
      <alignment horizontal="center" wrapText="1"/>
    </xf>
    <xf numFmtId="164" fontId="4" fillId="2" borderId="0" xfId="0" applyNumberFormat="1" applyFont="1" applyFill="1" applyAlignment="1">
      <alignment horizontal="center" vertical="top"/>
    </xf>
    <xf numFmtId="0" fontId="3" fillId="2" borderId="0" xfId="0" applyFont="1" applyFill="1" applyAlignment="1">
      <alignment horizontal="center" wrapText="1"/>
    </xf>
    <xf numFmtId="0" fontId="2" fillId="2" borderId="0" xfId="0" applyFont="1" applyFill="1" applyAlignment="1">
      <alignment vertical="top" wrapText="1"/>
    </xf>
    <xf numFmtId="0" fontId="4" fillId="2" borderId="0" xfId="0" applyFont="1" applyFill="1" applyAlignment="1">
      <alignment wrapText="1"/>
    </xf>
    <xf numFmtId="164" fontId="3" fillId="2" borderId="2" xfId="0" applyNumberFormat="1" applyFont="1" applyFill="1" applyBorder="1" applyAlignment="1">
      <alignment horizontal="center" wrapText="1"/>
    </xf>
    <xf numFmtId="164" fontId="11" fillId="2" borderId="2" xfId="0" applyNumberFormat="1" applyFont="1" applyFill="1" applyBorder="1" applyAlignment="1">
      <alignment horizontal="center"/>
    </xf>
    <xf numFmtId="0" fontId="13" fillId="2" borderId="2" xfId="0" applyFont="1" applyFill="1" applyBorder="1" applyAlignment="1">
      <alignment vertical="top" wrapText="1"/>
    </xf>
    <xf numFmtId="164" fontId="14" fillId="2" borderId="2" xfId="0" applyNumberFormat="1" applyFont="1" applyFill="1" applyBorder="1" applyAlignment="1">
      <alignment horizontal="center" wrapText="1"/>
    </xf>
    <xf numFmtId="164" fontId="15" fillId="2" borderId="2" xfId="0" applyNumberFormat="1" applyFont="1" applyFill="1" applyBorder="1" applyAlignment="1">
      <alignment horizontal="center" wrapText="1"/>
    </xf>
    <xf numFmtId="0" fontId="0" fillId="2" borderId="2" xfId="0" applyFill="1" applyBorder="1" applyAlignment="1">
      <alignment horizontal="center" wrapText="1"/>
    </xf>
    <xf numFmtId="0" fontId="2" fillId="2" borderId="8" xfId="0" applyFont="1" applyFill="1" applyBorder="1" applyAlignment="1">
      <alignment vertical="top" wrapText="1"/>
    </xf>
    <xf numFmtId="164" fontId="3" fillId="2" borderId="2" xfId="0" applyNumberFormat="1" applyFont="1" applyFill="1" applyBorder="1" applyAlignment="1">
      <alignment horizontal="center"/>
    </xf>
    <xf numFmtId="0" fontId="11" fillId="2" borderId="2" xfId="0" applyFont="1" applyFill="1" applyBorder="1" applyAlignment="1">
      <alignment horizontal="left" vertical="top" wrapText="1"/>
    </xf>
    <xf numFmtId="170" fontId="3" fillId="2" borderId="2" xfId="0" applyNumberFormat="1" applyFont="1" applyFill="1" applyBorder="1" applyAlignment="1">
      <alignment horizontal="center"/>
    </xf>
    <xf numFmtId="170" fontId="4" fillId="2" borderId="2" xfId="1" applyNumberFormat="1" applyFont="1" applyFill="1" applyBorder="1" applyAlignment="1">
      <alignment horizontal="center" wrapText="1"/>
    </xf>
    <xf numFmtId="170" fontId="18" fillId="2" borderId="0" xfId="0" applyNumberFormat="1" applyFont="1" applyFill="1" applyAlignment="1"/>
    <xf numFmtId="0" fontId="2" fillId="2" borderId="0" xfId="0" applyFont="1" applyFill="1" applyAlignment="1"/>
    <xf numFmtId="2" fontId="4" fillId="2" borderId="0" xfId="1" applyNumberFormat="1" applyFont="1" applyFill="1" applyBorder="1" applyAlignment="1">
      <alignment horizontal="center"/>
    </xf>
    <xf numFmtId="164" fontId="4" fillId="2" borderId="0" xfId="1" applyNumberFormat="1" applyFont="1" applyFill="1" applyBorder="1" applyAlignment="1">
      <alignment horizontal="center"/>
    </xf>
    <xf numFmtId="166" fontId="2" fillId="2" borderId="8" xfId="2" applyNumberFormat="1" applyFont="1" applyFill="1" applyBorder="1" applyAlignment="1">
      <alignment vertical="top" wrapText="1"/>
    </xf>
    <xf numFmtId="167" fontId="2" fillId="2" borderId="8" xfId="0" applyNumberFormat="1" applyFont="1" applyFill="1" applyBorder="1" applyAlignment="1">
      <alignment vertical="top" wrapText="1"/>
    </xf>
    <xf numFmtId="0" fontId="12" fillId="2" borderId="0" xfId="0" applyFont="1" applyFill="1"/>
    <xf numFmtId="166" fontId="7" fillId="2" borderId="2" xfId="2" applyNumberFormat="1" applyFont="1" applyFill="1" applyBorder="1" applyAlignment="1">
      <alignment horizontal="center"/>
    </xf>
    <xf numFmtId="172" fontId="4" fillId="2" borderId="0" xfId="0" applyNumberFormat="1" applyFont="1" applyFill="1"/>
    <xf numFmtId="166" fontId="12" fillId="2" borderId="0" xfId="2" applyNumberFormat="1" applyFont="1" applyFill="1" applyAlignment="1"/>
    <xf numFmtId="174" fontId="6" fillId="2" borderId="2" xfId="0" applyNumberFormat="1" applyFont="1" applyFill="1" applyBorder="1" applyAlignment="1">
      <alignment horizontal="center" wrapText="1"/>
    </xf>
    <xf numFmtId="3" fontId="6" fillId="2" borderId="2" xfId="0" applyNumberFormat="1" applyFont="1" applyFill="1" applyBorder="1" applyAlignment="1">
      <alignment horizontal="center" wrapText="1"/>
    </xf>
    <xf numFmtId="3" fontId="4" fillId="2" borderId="2" xfId="1" applyNumberFormat="1" applyFont="1" applyFill="1" applyBorder="1" applyAlignment="1">
      <alignment horizontal="center" wrapText="1"/>
    </xf>
    <xf numFmtId="166" fontId="11" fillId="2" borderId="0" xfId="2" applyNumberFormat="1" applyFont="1" applyFill="1" applyAlignment="1"/>
    <xf numFmtId="0" fontId="25" fillId="2" borderId="2" xfId="0" applyFont="1" applyFill="1" applyBorder="1" applyAlignment="1">
      <alignment horizontal="center"/>
    </xf>
    <xf numFmtId="0" fontId="32" fillId="2" borderId="2" xfId="0" applyFont="1" applyFill="1" applyBorder="1" applyAlignment="1">
      <alignment horizontal="left" vertical="top" wrapText="1"/>
    </xf>
    <xf numFmtId="0" fontId="32" fillId="2" borderId="2" xfId="0" applyFont="1" applyFill="1" applyBorder="1" applyAlignment="1">
      <alignment horizontal="center"/>
    </xf>
    <xf numFmtId="0" fontId="28" fillId="2" borderId="8" xfId="0" applyFont="1" applyFill="1" applyBorder="1" applyAlignment="1">
      <alignment vertical="top" wrapText="1"/>
    </xf>
    <xf numFmtId="167" fontId="32" fillId="2" borderId="2" xfId="0" applyNumberFormat="1" applyFont="1" applyFill="1" applyBorder="1" applyAlignment="1">
      <alignment horizontal="center"/>
    </xf>
    <xf numFmtId="2" fontId="7" fillId="2" borderId="7" xfId="0" applyNumberFormat="1" applyFont="1" applyFill="1" applyBorder="1" applyAlignment="1">
      <alignment horizontal="center"/>
    </xf>
    <xf numFmtId="164" fontId="7" fillId="2" borderId="7" xfId="0" applyNumberFormat="1" applyFont="1" applyFill="1" applyBorder="1" applyAlignment="1">
      <alignment horizontal="center"/>
    </xf>
    <xf numFmtId="2" fontId="32" fillId="2" borderId="2" xfId="0" applyNumberFormat="1" applyFont="1" applyFill="1" applyBorder="1" applyAlignment="1">
      <alignment horizontal="center"/>
    </xf>
    <xf numFmtId="0" fontId="20" fillId="2" borderId="8" xfId="0" applyFont="1" applyFill="1" applyBorder="1" applyAlignment="1">
      <alignment horizontal="left" vertical="top" wrapText="1"/>
    </xf>
    <xf numFmtId="164" fontId="32" fillId="2" borderId="2" xfId="0" applyNumberFormat="1" applyFont="1" applyFill="1" applyBorder="1" applyAlignment="1">
      <alignment horizontal="center"/>
    </xf>
    <xf numFmtId="166" fontId="2" fillId="2" borderId="0" xfId="2" applyNumberFormat="1" applyFont="1" applyFill="1" applyAlignment="1">
      <alignment vertical="top" wrapText="1"/>
    </xf>
    <xf numFmtId="0" fontId="4" fillId="2" borderId="0" xfId="0" applyFont="1" applyFill="1" applyBorder="1" applyAlignment="1">
      <alignment wrapText="1"/>
    </xf>
    <xf numFmtId="0" fontId="10" fillId="2" borderId="0" xfId="0" applyFont="1" applyFill="1" applyAlignment="1">
      <alignment wrapText="1"/>
    </xf>
    <xf numFmtId="164" fontId="2" fillId="2" borderId="0" xfId="0" applyNumberFormat="1" applyFont="1" applyFill="1"/>
    <xf numFmtId="164" fontId="4" fillId="2" borderId="1" xfId="0" applyNumberFormat="1" applyFont="1" applyFill="1" applyBorder="1" applyAlignment="1">
      <alignment horizontal="center" wrapText="1"/>
    </xf>
    <xf numFmtId="164" fontId="4" fillId="2" borderId="0" xfId="0" applyNumberFormat="1" applyFont="1" applyFill="1" applyBorder="1" applyAlignment="1">
      <alignment horizontal="center"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2" fillId="2" borderId="9" xfId="0" applyFont="1" applyFill="1" applyBorder="1" applyAlignment="1">
      <alignment vertical="top" wrapText="1"/>
    </xf>
    <xf numFmtId="0" fontId="0" fillId="2" borderId="11" xfId="0" applyFill="1" applyBorder="1" applyAlignment="1">
      <alignment vertical="top" wrapText="1"/>
    </xf>
    <xf numFmtId="0" fontId="8" fillId="2" borderId="2" xfId="0" applyFont="1" applyFill="1" applyBorder="1" applyAlignment="1">
      <alignment horizontal="center" wrapText="1"/>
    </xf>
    <xf numFmtId="0" fontId="0" fillId="2" borderId="2" xfId="0" applyFill="1" applyBorder="1" applyAlignment="1">
      <alignment horizontal="center" wrapText="1"/>
    </xf>
    <xf numFmtId="167" fontId="2" fillId="2" borderId="9" xfId="0" applyNumberFormat="1" applyFont="1" applyFill="1" applyBorder="1" applyAlignment="1">
      <alignment vertical="top" wrapText="1"/>
    </xf>
    <xf numFmtId="0" fontId="0" fillId="2" borderId="10" xfId="0" applyFill="1" applyBorder="1" applyAlignment="1">
      <alignment vertical="top" wrapText="1"/>
    </xf>
    <xf numFmtId="0" fontId="4" fillId="2" borderId="4" xfId="0" applyFont="1" applyFill="1" applyBorder="1" applyAlignment="1">
      <alignment horizontal="center" vertical="top"/>
    </xf>
    <xf numFmtId="0" fontId="0" fillId="2" borderId="5" xfId="0" applyFill="1" applyBorder="1" applyAlignment="1">
      <alignment horizontal="center" vertical="top"/>
    </xf>
    <xf numFmtId="0" fontId="0" fillId="2" borderId="6" xfId="0" applyFill="1" applyBorder="1" applyAlignment="1">
      <alignment horizontal="center" vertical="top"/>
    </xf>
    <xf numFmtId="0" fontId="4" fillId="2" borderId="5" xfId="0" applyFont="1" applyFill="1" applyBorder="1" applyAlignment="1">
      <alignment horizontal="center" vertical="top"/>
    </xf>
    <xf numFmtId="0" fontId="4" fillId="2" borderId="6" xfId="0" applyFont="1" applyFill="1" applyBorder="1" applyAlignment="1">
      <alignment horizontal="center" vertical="top"/>
    </xf>
    <xf numFmtId="166" fontId="2" fillId="2" borderId="9" xfId="2" applyNumberFormat="1" applyFont="1" applyFill="1" applyBorder="1" applyAlignment="1">
      <alignment vertical="top" wrapText="1"/>
    </xf>
    <xf numFmtId="0" fontId="3" fillId="2" borderId="0" xfId="0" applyFont="1" applyFill="1" applyAlignment="1">
      <alignment horizontal="center" wrapText="1"/>
    </xf>
    <xf numFmtId="0" fontId="0" fillId="2" borderId="0" xfId="0" applyFill="1" applyAlignment="1">
      <alignment horizontal="center" wrapText="1"/>
    </xf>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X74"/>
  <sheetViews>
    <sheetView tabSelected="1" view="pageBreakPreview" zoomScaleNormal="100" zoomScaleSheetLayoutView="100" workbookViewId="0">
      <pane xSplit="3" ySplit="9" topLeftCell="AB10" activePane="bottomRight" state="frozen"/>
      <selection pane="topRight" activeCell="D1" sqref="D1"/>
      <selection pane="bottomLeft" activeCell="A8" sqref="A8"/>
      <selection pane="bottomRight" activeCell="AK10" sqref="AK10:AK13"/>
    </sheetView>
  </sheetViews>
  <sheetFormatPr defaultRowHeight="15" outlineLevelRow="1" outlineLevelCol="1"/>
  <cols>
    <col min="1" max="1" width="5.85546875" style="5" customWidth="1"/>
    <col min="2" max="2" width="38.140625" style="128" customWidth="1"/>
    <col min="3" max="3" width="9" style="5" customWidth="1"/>
    <col min="4" max="4" width="11.42578125" style="19" hidden="1" customWidth="1" outlineLevel="1"/>
    <col min="5" max="5" width="11.7109375" style="19" hidden="1" customWidth="1" outlineLevel="1"/>
    <col min="6" max="7" width="10.5703125" style="19" hidden="1" customWidth="1" outlineLevel="1"/>
    <col min="8" max="8" width="11.7109375" style="19" hidden="1" customWidth="1" outlineLevel="1"/>
    <col min="9" max="9" width="11.7109375" style="19" hidden="1" customWidth="1" outlineLevel="1" collapsed="1"/>
    <col min="10" max="10" width="10.42578125" style="19" hidden="1" customWidth="1" outlineLevel="1"/>
    <col min="11" max="11" width="10.42578125" style="19" hidden="1" customWidth="1" outlineLevel="1" collapsed="1"/>
    <col min="12" max="12" width="12.140625" style="19" hidden="1" customWidth="1" outlineLevel="1"/>
    <col min="13" max="14" width="12.42578125" style="19" hidden="1" customWidth="1" outlineLevel="1"/>
    <col min="15" max="15" width="11.85546875" style="19" hidden="1" customWidth="1" outlineLevel="1"/>
    <col min="16" max="16" width="13" style="19" hidden="1" customWidth="1" outlineLevel="1"/>
    <col min="17" max="17" width="12.42578125" style="19" hidden="1" customWidth="1" outlineLevel="1"/>
    <col min="18" max="18" width="13.42578125" style="19" hidden="1" customWidth="1" outlineLevel="1"/>
    <col min="19" max="23" width="12.42578125" style="19" hidden="1" customWidth="1" outlineLevel="1"/>
    <col min="24" max="24" width="10.28515625" style="19" hidden="1" customWidth="1" outlineLevel="1"/>
    <col min="25" max="25" width="15" style="19" hidden="1" customWidth="1" outlineLevel="1"/>
    <col min="26" max="26" width="9.42578125" style="19" hidden="1" customWidth="1" outlineLevel="1"/>
    <col min="27" max="27" width="12.28515625" style="19" hidden="1" customWidth="1" outlineLevel="1"/>
    <col min="28" max="28" width="10.7109375" style="19" customWidth="1" collapsed="1"/>
    <col min="29" max="29" width="12.28515625" style="19" hidden="1" customWidth="1" outlineLevel="1"/>
    <col min="30" max="31" width="10.85546875" style="19" hidden="1" customWidth="1" outlineLevel="1"/>
    <col min="32" max="32" width="10.85546875" style="19" customWidth="1" collapsed="1"/>
    <col min="33" max="34" width="10.7109375" style="19" customWidth="1"/>
    <col min="35" max="36" width="9.85546875" style="19" customWidth="1"/>
    <col min="37" max="37" width="81.140625" style="127" customWidth="1"/>
    <col min="38" max="39" width="9.140625" style="35" customWidth="1"/>
    <col min="40" max="40" width="9.140625" style="35"/>
    <col min="41" max="16384" width="9.140625" style="88"/>
  </cols>
  <sheetData>
    <row r="1" spans="1:76" ht="45.75" customHeight="1" outlineLevel="1">
      <c r="A1" s="184" t="s">
        <v>225</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5"/>
      <c r="AJ1" s="124"/>
      <c r="AK1" s="125" t="s">
        <v>226</v>
      </c>
    </row>
    <row r="2" spans="1:76" ht="17.25" customHeight="1">
      <c r="A2" s="126"/>
      <c r="B2" s="126"/>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row>
    <row r="3" spans="1:76" ht="36.75" hidden="1" customHeight="1" outlineLevel="1">
      <c r="A3" s="184" t="s">
        <v>187</v>
      </c>
      <c r="B3" s="184"/>
      <c r="C3" s="184"/>
      <c r="D3" s="184"/>
      <c r="E3" s="184"/>
      <c r="F3" s="184"/>
      <c r="G3" s="184"/>
      <c r="H3" s="184"/>
      <c r="I3" s="184"/>
      <c r="J3" s="184"/>
      <c r="K3" s="184"/>
      <c r="L3" s="184"/>
      <c r="M3" s="184"/>
      <c r="N3" s="184"/>
      <c r="O3" s="184"/>
      <c r="P3" s="184"/>
      <c r="Q3" s="184"/>
      <c r="R3" s="184"/>
      <c r="S3" s="184"/>
      <c r="T3" s="184"/>
      <c r="U3" s="184"/>
      <c r="V3" s="184"/>
      <c r="W3" s="184"/>
      <c r="X3" s="184"/>
      <c r="Y3" s="184"/>
      <c r="Z3" s="185"/>
      <c r="AA3" s="185"/>
      <c r="AB3" s="185"/>
      <c r="AC3" s="185"/>
      <c r="AD3" s="185"/>
      <c r="AE3" s="185"/>
      <c r="AF3" s="124"/>
      <c r="AG3" s="34"/>
      <c r="AH3" s="34"/>
      <c r="AI3" s="34"/>
      <c r="AJ3" s="34"/>
    </row>
    <row r="4" spans="1:76" ht="18.75" customHeight="1" collapsed="1">
      <c r="P4" s="168"/>
      <c r="Q4" s="169"/>
      <c r="R4" s="169"/>
      <c r="S4" s="169"/>
      <c r="T4" s="169"/>
      <c r="U4" s="169"/>
      <c r="V4" s="169"/>
      <c r="W4" s="169"/>
      <c r="X4" s="169"/>
      <c r="Y4" s="94"/>
      <c r="Z4" s="94"/>
      <c r="AA4" s="94"/>
      <c r="AB4" s="94"/>
      <c r="AC4" s="94"/>
      <c r="AD4" s="94"/>
      <c r="AE4" s="94"/>
      <c r="AF4" s="94"/>
      <c r="AG4" s="94"/>
      <c r="AH4" s="94"/>
      <c r="AI4" s="94"/>
      <c r="AJ4" s="94"/>
    </row>
    <row r="5" spans="1:76" ht="15.75" customHeight="1">
      <c r="A5" s="170" t="s">
        <v>0</v>
      </c>
      <c r="B5" s="170" t="s">
        <v>1</v>
      </c>
      <c r="C5" s="170" t="s">
        <v>2</v>
      </c>
      <c r="D5" s="20" t="s">
        <v>3</v>
      </c>
      <c r="E5" s="20" t="s">
        <v>3</v>
      </c>
      <c r="F5" s="20" t="s">
        <v>3</v>
      </c>
      <c r="G5" s="20" t="s">
        <v>3</v>
      </c>
      <c r="H5" s="20" t="s">
        <v>3</v>
      </c>
      <c r="I5" s="20" t="s">
        <v>3</v>
      </c>
      <c r="J5" s="22" t="s">
        <v>4</v>
      </c>
      <c r="K5" s="21" t="s">
        <v>99</v>
      </c>
      <c r="L5" s="21" t="s">
        <v>99</v>
      </c>
      <c r="M5" s="21" t="s">
        <v>99</v>
      </c>
      <c r="N5" s="21" t="s">
        <v>99</v>
      </c>
      <c r="O5" s="21" t="s">
        <v>100</v>
      </c>
      <c r="P5" s="22" t="s">
        <v>94</v>
      </c>
      <c r="Q5" s="21" t="s">
        <v>101</v>
      </c>
      <c r="R5" s="21" t="s">
        <v>3</v>
      </c>
      <c r="S5" s="21" t="s">
        <v>98</v>
      </c>
      <c r="T5" s="21" t="s">
        <v>99</v>
      </c>
      <c r="U5" s="21" t="s">
        <v>98</v>
      </c>
      <c r="V5" s="21" t="s">
        <v>3</v>
      </c>
      <c r="W5" s="21" t="s">
        <v>3</v>
      </c>
      <c r="X5" s="21" t="s">
        <v>98</v>
      </c>
      <c r="Y5" s="21" t="s">
        <v>3</v>
      </c>
      <c r="Z5" s="21" t="s">
        <v>98</v>
      </c>
      <c r="AA5" s="21" t="s">
        <v>3</v>
      </c>
      <c r="AB5" s="129" t="s">
        <v>3</v>
      </c>
      <c r="AC5" s="129" t="s">
        <v>3</v>
      </c>
      <c r="AD5" s="129" t="s">
        <v>3</v>
      </c>
      <c r="AE5" s="129" t="s">
        <v>98</v>
      </c>
      <c r="AF5" s="129" t="s">
        <v>3</v>
      </c>
      <c r="AG5" s="130" t="s">
        <v>4</v>
      </c>
      <c r="AH5" s="174" t="s">
        <v>67</v>
      </c>
      <c r="AI5" s="175"/>
      <c r="AJ5" s="175"/>
      <c r="AK5" s="131" t="s">
        <v>73</v>
      </c>
    </row>
    <row r="6" spans="1:76" ht="29.25" hidden="1" outlineLevel="1">
      <c r="A6" s="171"/>
      <c r="B6" s="170"/>
      <c r="C6" s="170"/>
      <c r="D6" s="20"/>
      <c r="E6" s="20"/>
      <c r="F6" s="20"/>
      <c r="G6" s="38" t="s">
        <v>102</v>
      </c>
      <c r="H6" s="20"/>
      <c r="I6" s="20"/>
      <c r="J6" s="22"/>
      <c r="K6" s="39" t="s">
        <v>103</v>
      </c>
      <c r="L6" s="39" t="s">
        <v>104</v>
      </c>
      <c r="M6" s="39" t="s">
        <v>105</v>
      </c>
      <c r="N6" s="38" t="s">
        <v>102</v>
      </c>
      <c r="O6" s="39"/>
      <c r="P6" s="40"/>
      <c r="Q6" s="39"/>
      <c r="R6" s="39" t="s">
        <v>106</v>
      </c>
      <c r="S6" s="39" t="s">
        <v>104</v>
      </c>
      <c r="T6" s="39" t="s">
        <v>105</v>
      </c>
      <c r="U6" s="39" t="s">
        <v>105</v>
      </c>
      <c r="V6" s="38" t="s">
        <v>102</v>
      </c>
      <c r="W6" s="39"/>
      <c r="X6" s="21"/>
      <c r="Y6" s="21" t="s">
        <v>163</v>
      </c>
      <c r="Z6" s="21"/>
      <c r="AA6" s="21" t="s">
        <v>163</v>
      </c>
      <c r="AB6" s="132" t="s">
        <v>102</v>
      </c>
      <c r="AC6" s="133"/>
      <c r="AD6" s="133"/>
      <c r="AE6" s="129"/>
      <c r="AF6" s="129"/>
      <c r="AG6" s="134"/>
      <c r="AH6" s="134"/>
      <c r="AI6" s="134"/>
      <c r="AJ6" s="134"/>
      <c r="AK6" s="135"/>
    </row>
    <row r="7" spans="1:76" ht="31.5" customHeight="1" collapsed="1">
      <c r="A7" s="171"/>
      <c r="B7" s="170"/>
      <c r="C7" s="170"/>
      <c r="D7" s="21" t="s">
        <v>5</v>
      </c>
      <c r="E7" s="21" t="s">
        <v>6</v>
      </c>
      <c r="F7" s="21" t="s">
        <v>7</v>
      </c>
      <c r="G7" s="21" t="s">
        <v>7</v>
      </c>
      <c r="H7" s="21" t="s">
        <v>74</v>
      </c>
      <c r="I7" s="21" t="s">
        <v>83</v>
      </c>
      <c r="J7" s="20" t="s">
        <v>8</v>
      </c>
      <c r="K7" s="21" t="s">
        <v>8</v>
      </c>
      <c r="L7" s="21" t="s">
        <v>8</v>
      </c>
      <c r="M7" s="21" t="s">
        <v>8</v>
      </c>
      <c r="N7" s="21" t="s">
        <v>8</v>
      </c>
      <c r="O7" s="21" t="s">
        <v>93</v>
      </c>
      <c r="P7" s="20" t="s">
        <v>9</v>
      </c>
      <c r="Q7" s="21" t="s">
        <v>9</v>
      </c>
      <c r="R7" s="21" t="s">
        <v>93</v>
      </c>
      <c r="S7" s="21" t="s">
        <v>9</v>
      </c>
      <c r="T7" s="21" t="s">
        <v>107</v>
      </c>
      <c r="U7" s="21" t="s">
        <v>9</v>
      </c>
      <c r="V7" s="21" t="s">
        <v>9</v>
      </c>
      <c r="W7" s="21" t="s">
        <v>118</v>
      </c>
      <c r="X7" s="39" t="s">
        <v>119</v>
      </c>
      <c r="Y7" s="21" t="s">
        <v>120</v>
      </c>
      <c r="Z7" s="21" t="s">
        <v>10</v>
      </c>
      <c r="AA7" s="21" t="s">
        <v>10</v>
      </c>
      <c r="AB7" s="129" t="s">
        <v>10</v>
      </c>
      <c r="AC7" s="129" t="s">
        <v>170</v>
      </c>
      <c r="AD7" s="129" t="s">
        <v>171</v>
      </c>
      <c r="AE7" s="136" t="s">
        <v>66</v>
      </c>
      <c r="AF7" s="136" t="s">
        <v>66</v>
      </c>
      <c r="AG7" s="136" t="s">
        <v>92</v>
      </c>
      <c r="AH7" s="136" t="s">
        <v>108</v>
      </c>
      <c r="AI7" s="136" t="s">
        <v>164</v>
      </c>
      <c r="AJ7" s="136" t="s">
        <v>189</v>
      </c>
      <c r="AK7" s="135"/>
    </row>
    <row r="8" spans="1:76" ht="13.5" hidden="1" customHeight="1" outlineLevel="1">
      <c r="A8" s="96"/>
      <c r="B8" s="137" t="s">
        <v>95</v>
      </c>
      <c r="C8" s="95"/>
      <c r="D8" s="21"/>
      <c r="E8" s="21"/>
      <c r="F8" s="21"/>
      <c r="G8" s="21"/>
      <c r="H8" s="21"/>
      <c r="I8" s="21"/>
      <c r="J8" s="20"/>
      <c r="K8" s="21"/>
      <c r="L8" s="21"/>
      <c r="M8" s="21"/>
      <c r="N8" s="21"/>
      <c r="O8" s="21"/>
      <c r="P8" s="20"/>
      <c r="Q8" s="41">
        <v>1.1559999999999999</v>
      </c>
      <c r="R8" s="21"/>
      <c r="S8" s="41"/>
      <c r="T8" s="41"/>
      <c r="U8" s="41"/>
      <c r="V8" s="41"/>
      <c r="W8" s="41"/>
      <c r="X8" s="42">
        <v>1.0640000000000001</v>
      </c>
      <c r="Y8" s="42"/>
      <c r="Z8" s="42"/>
      <c r="AA8" s="42"/>
      <c r="AB8" s="138"/>
      <c r="AC8" s="138"/>
      <c r="AD8" s="138"/>
      <c r="AE8" s="138"/>
      <c r="AF8" s="138"/>
      <c r="AG8" s="138">
        <v>1.052</v>
      </c>
      <c r="AH8" s="138"/>
      <c r="AI8" s="138"/>
      <c r="AJ8" s="138"/>
      <c r="AK8" s="135"/>
    </row>
    <row r="9" spans="1:76" ht="17.25" customHeight="1" collapsed="1">
      <c r="A9" s="82" t="s">
        <v>11</v>
      </c>
      <c r="B9" s="43" t="s">
        <v>12</v>
      </c>
      <c r="C9" s="44"/>
      <c r="D9" s="44"/>
      <c r="E9" s="44"/>
      <c r="F9" s="44"/>
      <c r="G9" s="44"/>
      <c r="H9" s="44"/>
      <c r="I9" s="44"/>
      <c r="J9" s="44"/>
      <c r="K9" s="44"/>
      <c r="L9" s="44"/>
      <c r="M9" s="45"/>
      <c r="N9" s="45"/>
      <c r="O9" s="45"/>
      <c r="P9" s="45"/>
      <c r="Q9" s="45"/>
      <c r="R9" s="45"/>
      <c r="S9" s="45"/>
      <c r="T9" s="45"/>
      <c r="U9" s="45"/>
      <c r="V9" s="45"/>
      <c r="W9" s="45"/>
      <c r="X9" s="45"/>
      <c r="Y9" s="45"/>
      <c r="Z9" s="45"/>
      <c r="AA9" s="45"/>
      <c r="AB9" s="45"/>
      <c r="AC9" s="45"/>
      <c r="AD9" s="45"/>
      <c r="AE9" s="45"/>
      <c r="AF9" s="45"/>
      <c r="AG9" s="45"/>
      <c r="AH9" s="45"/>
      <c r="AI9" s="45"/>
      <c r="AJ9" s="45"/>
      <c r="AK9" s="135"/>
    </row>
    <row r="10" spans="1:76" ht="30">
      <c r="A10" s="82" t="s">
        <v>13</v>
      </c>
      <c r="B10" s="1" t="s">
        <v>14</v>
      </c>
      <c r="C10" s="1" t="s">
        <v>68</v>
      </c>
      <c r="D10" s="3">
        <v>22.038</v>
      </c>
      <c r="E10" s="28">
        <v>22.643999999999998</v>
      </c>
      <c r="F10" s="28">
        <v>23.151</v>
      </c>
      <c r="G10" s="28">
        <v>23.151</v>
      </c>
      <c r="H10" s="28" t="s">
        <v>79</v>
      </c>
      <c r="I10" s="28">
        <f>F10+0.079+0.056</f>
        <v>23.286000000000001</v>
      </c>
      <c r="J10" s="28">
        <f>F10+J11+J12</f>
        <v>23.626139999999999</v>
      </c>
      <c r="K10" s="28">
        <f>F10+K11+K12</f>
        <v>23.665000000000003</v>
      </c>
      <c r="L10" s="28">
        <v>23.664999999999999</v>
      </c>
      <c r="M10" s="28">
        <v>23.664999999999999</v>
      </c>
      <c r="N10" s="3">
        <v>23.664999999999999</v>
      </c>
      <c r="O10" s="3">
        <v>23.664999999999999</v>
      </c>
      <c r="P10" s="3">
        <f>K10+P11+P12</f>
        <v>24.103000000000005</v>
      </c>
      <c r="Q10" s="3">
        <v>24.103000000000002</v>
      </c>
      <c r="R10" s="3">
        <v>23.664999999999999</v>
      </c>
      <c r="S10" s="3">
        <v>24.103000000000002</v>
      </c>
      <c r="T10" s="48">
        <v>23.939</v>
      </c>
      <c r="U10" s="3">
        <f>M10+U11+U12</f>
        <v>24.158628284765328</v>
      </c>
      <c r="V10" s="3">
        <v>24.236999999999998</v>
      </c>
      <c r="W10" s="3">
        <f>V10</f>
        <v>24.236999999999998</v>
      </c>
      <c r="X10" s="3">
        <v>24.806000000000001</v>
      </c>
      <c r="Y10" s="3">
        <f>X10</f>
        <v>24.806000000000001</v>
      </c>
      <c r="Z10" s="3">
        <f>X10</f>
        <v>24.806000000000001</v>
      </c>
      <c r="AA10" s="3">
        <v>24.594999999999999</v>
      </c>
      <c r="AB10" s="28">
        <v>24.594999999999999</v>
      </c>
      <c r="AC10" s="3">
        <v>24.594999999999999</v>
      </c>
      <c r="AD10" s="139">
        <v>24.594999999999999</v>
      </c>
      <c r="AE10" s="76">
        <v>24.863</v>
      </c>
      <c r="AF10" s="52">
        <v>24.715</v>
      </c>
      <c r="AG10" s="52">
        <v>25.259</v>
      </c>
      <c r="AH10" s="52">
        <v>25.61</v>
      </c>
      <c r="AI10" s="28">
        <v>25.936</v>
      </c>
      <c r="AJ10" s="28">
        <v>26.262</v>
      </c>
      <c r="AK10" s="176" t="s">
        <v>193</v>
      </c>
      <c r="AL10" s="28"/>
      <c r="AM10" s="28"/>
      <c r="AN10" s="140"/>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row>
    <row r="11" spans="1:76" ht="27" customHeight="1">
      <c r="A11" s="82" t="s">
        <v>16</v>
      </c>
      <c r="B11" s="1" t="s">
        <v>17</v>
      </c>
      <c r="C11" s="1" t="s">
        <v>18</v>
      </c>
      <c r="D11" s="23">
        <v>0.11700000000000001</v>
      </c>
      <c r="E11" s="23">
        <v>0.14099999999999999</v>
      </c>
      <c r="F11" s="28">
        <f>164/1000</f>
        <v>0.16400000000000001</v>
      </c>
      <c r="G11" s="28">
        <f>164/1000</f>
        <v>0.16400000000000001</v>
      </c>
      <c r="H11" s="23">
        <f>76/1000</f>
        <v>7.5999999999999998E-2</v>
      </c>
      <c r="I11" s="23" t="s">
        <v>85</v>
      </c>
      <c r="J11" s="23">
        <f>(79*2)/1000</f>
        <v>0.158</v>
      </c>
      <c r="K11" s="23">
        <v>0.19</v>
      </c>
      <c r="L11" s="23">
        <v>0.19</v>
      </c>
      <c r="M11" s="28">
        <v>0.19</v>
      </c>
      <c r="N11" s="3">
        <v>0.19</v>
      </c>
      <c r="O11" s="29" t="s">
        <v>89</v>
      </c>
      <c r="P11" s="3">
        <f>164/1000</f>
        <v>0.16400000000000001</v>
      </c>
      <c r="Q11" s="3">
        <f>164/1000</f>
        <v>0.16400000000000001</v>
      </c>
      <c r="R11" s="29" t="s">
        <v>89</v>
      </c>
      <c r="S11" s="3">
        <f>164/1000</f>
        <v>0.16400000000000001</v>
      </c>
      <c r="T11" s="48" t="s">
        <v>89</v>
      </c>
      <c r="U11" s="3">
        <f>(164+190)/2/1000</f>
        <v>0.17699999999999999</v>
      </c>
      <c r="V11" s="3">
        <v>0.251</v>
      </c>
      <c r="W11" s="29" t="s">
        <v>89</v>
      </c>
      <c r="X11" s="3">
        <f>(V11+M11+F11)/3</f>
        <v>0.20166666666666666</v>
      </c>
      <c r="Y11" s="29" t="s">
        <v>89</v>
      </c>
      <c r="Z11" s="3">
        <f t="shared" ref="Z11:Z13" si="0">X11</f>
        <v>0.20166666666666666</v>
      </c>
      <c r="AA11" s="29" t="s">
        <v>166</v>
      </c>
      <c r="AB11" s="139">
        <v>0.29199999999999998</v>
      </c>
      <c r="AC11" s="33" t="s">
        <v>89</v>
      </c>
      <c r="AD11" s="33" t="s">
        <v>184</v>
      </c>
      <c r="AE11" s="3">
        <f>0.245</f>
        <v>0.245</v>
      </c>
      <c r="AF11" s="23" t="s">
        <v>190</v>
      </c>
      <c r="AG11" s="3">
        <v>0.22600000000000001</v>
      </c>
      <c r="AH11" s="3">
        <f t="shared" ref="AH11" si="1">AG11</f>
        <v>0.22600000000000001</v>
      </c>
      <c r="AI11" s="3">
        <f>AH11</f>
        <v>0.22600000000000001</v>
      </c>
      <c r="AJ11" s="3">
        <f>AI11</f>
        <v>0.22600000000000001</v>
      </c>
      <c r="AK11" s="177"/>
      <c r="AL11" s="23"/>
      <c r="AM11" s="142"/>
      <c r="AN11" s="87"/>
    </row>
    <row r="12" spans="1:76" ht="45">
      <c r="A12" s="82" t="s">
        <v>19</v>
      </c>
      <c r="B12" s="1" t="s">
        <v>20</v>
      </c>
      <c r="C12" s="1" t="s">
        <v>18</v>
      </c>
      <c r="D12" s="3">
        <v>0.55800000000000005</v>
      </c>
      <c r="E12" s="3">
        <v>0.39600000000000002</v>
      </c>
      <c r="F12" s="28">
        <f>314/1000</f>
        <v>0.314</v>
      </c>
      <c r="G12" s="28">
        <f>314/1000</f>
        <v>0.314</v>
      </c>
      <c r="H12" s="3">
        <f>56/1000</f>
        <v>5.6000000000000001E-2</v>
      </c>
      <c r="I12" s="3" t="s">
        <v>86</v>
      </c>
      <c r="J12" s="3">
        <f>314*1.01/1000</f>
        <v>0.31713999999999998</v>
      </c>
      <c r="K12" s="3">
        <f>0.359-0.035</f>
        <v>0.32399999999999995</v>
      </c>
      <c r="L12" s="3">
        <f>0.359-0.035</f>
        <v>0.32399999999999995</v>
      </c>
      <c r="M12" s="28">
        <v>0.35899999999999999</v>
      </c>
      <c r="N12" s="3">
        <v>0.35899999999999999</v>
      </c>
      <c r="O12" s="29" t="s">
        <v>89</v>
      </c>
      <c r="P12" s="3">
        <f>314/1000-0.04</f>
        <v>0.27400000000000002</v>
      </c>
      <c r="Q12" s="3">
        <f>314/1000-0.04</f>
        <v>0.27400000000000002</v>
      </c>
      <c r="R12" s="29" t="s">
        <v>89</v>
      </c>
      <c r="S12" s="3">
        <f>314/1000-0.04</f>
        <v>0.27400000000000002</v>
      </c>
      <c r="T12" s="48" t="s">
        <v>89</v>
      </c>
      <c r="U12" s="3">
        <f>((E12/D12)+(F12/E12)+(M12/F12))/3*M12</f>
        <v>0.31662828476533011</v>
      </c>
      <c r="V12" s="3">
        <v>0.34</v>
      </c>
      <c r="W12" s="29" t="s">
        <v>89</v>
      </c>
      <c r="X12" s="3">
        <f>(V12+M12+F12)/3</f>
        <v>0.33766666666666673</v>
      </c>
      <c r="Y12" s="29" t="s">
        <v>89</v>
      </c>
      <c r="Z12" s="3">
        <f t="shared" si="0"/>
        <v>0.33766666666666673</v>
      </c>
      <c r="AA12" s="29" t="s">
        <v>166</v>
      </c>
      <c r="AB12" s="139">
        <v>-0.17299999999999999</v>
      </c>
      <c r="AC12" s="33" t="s">
        <v>89</v>
      </c>
      <c r="AD12" s="33" t="s">
        <v>185</v>
      </c>
      <c r="AE12" s="3">
        <v>0.17199999999999999</v>
      </c>
      <c r="AF12" s="28" t="s">
        <v>191</v>
      </c>
      <c r="AG12" s="3">
        <v>0.15</v>
      </c>
      <c r="AH12" s="3">
        <v>0.1</v>
      </c>
      <c r="AI12" s="3">
        <f>AH12</f>
        <v>0.1</v>
      </c>
      <c r="AJ12" s="3">
        <f>AI12</f>
        <v>0.1</v>
      </c>
      <c r="AK12" s="177"/>
      <c r="AL12" s="3"/>
      <c r="AM12" s="143"/>
      <c r="AN12" s="87"/>
    </row>
    <row r="13" spans="1:76" ht="40.5" customHeight="1">
      <c r="A13" s="82" t="s">
        <v>21</v>
      </c>
      <c r="B13" s="1" t="s">
        <v>22</v>
      </c>
      <c r="C13" s="1" t="s">
        <v>18</v>
      </c>
      <c r="D13" s="3">
        <v>14.12</v>
      </c>
      <c r="E13" s="3">
        <v>14.26</v>
      </c>
      <c r="F13" s="3">
        <f>14258/1000</f>
        <v>14.257999999999999</v>
      </c>
      <c r="G13" s="3">
        <f>14258/1000</f>
        <v>14.257999999999999</v>
      </c>
      <c r="H13" s="3" t="s">
        <v>78</v>
      </c>
      <c r="I13" s="3" t="s">
        <v>78</v>
      </c>
      <c r="J13" s="3">
        <f>SUM(F13*1.01)</f>
        <v>14.40058</v>
      </c>
      <c r="K13" s="3">
        <v>14.438000000000001</v>
      </c>
      <c r="L13" s="3">
        <v>14.4</v>
      </c>
      <c r="M13" s="3">
        <v>14.590999999999999</v>
      </c>
      <c r="N13" s="3">
        <v>14.590999999999999</v>
      </c>
      <c r="O13" s="33" t="s">
        <v>89</v>
      </c>
      <c r="P13" s="3">
        <v>14.6</v>
      </c>
      <c r="Q13" s="3">
        <v>14.6</v>
      </c>
      <c r="R13" s="33" t="s">
        <v>89</v>
      </c>
      <c r="S13" s="3">
        <v>14.6</v>
      </c>
      <c r="T13" s="29" t="s">
        <v>89</v>
      </c>
      <c r="U13" s="3">
        <v>14.6</v>
      </c>
      <c r="V13" s="49">
        <v>14.705</v>
      </c>
      <c r="W13" s="33" t="s">
        <v>89</v>
      </c>
      <c r="X13" s="3">
        <v>14.7</v>
      </c>
      <c r="Y13" s="33" t="s">
        <v>89</v>
      </c>
      <c r="Z13" s="3">
        <f t="shared" si="0"/>
        <v>14.7</v>
      </c>
      <c r="AA13" s="33" t="s">
        <v>165</v>
      </c>
      <c r="AB13" s="139">
        <v>14.532999999999999</v>
      </c>
      <c r="AC13" s="33" t="s">
        <v>89</v>
      </c>
      <c r="AD13" s="33" t="s">
        <v>173</v>
      </c>
      <c r="AE13" s="3">
        <f>14.678</f>
        <v>14.678000000000001</v>
      </c>
      <c r="AF13" s="28" t="s">
        <v>192</v>
      </c>
      <c r="AG13" s="28">
        <f>14.825</f>
        <v>14.824999999999999</v>
      </c>
      <c r="AH13" s="28">
        <f>14.944</f>
        <v>14.944000000000001</v>
      </c>
      <c r="AI13" s="28">
        <f>15.063</f>
        <v>15.063000000000001</v>
      </c>
      <c r="AJ13" s="28">
        <v>15.183999999999999</v>
      </c>
      <c r="AK13" s="173"/>
      <c r="AL13" s="87"/>
      <c r="AM13" s="87"/>
      <c r="AN13" s="87"/>
    </row>
    <row r="14" spans="1:76">
      <c r="A14" s="82" t="s">
        <v>23</v>
      </c>
      <c r="B14" s="50" t="s">
        <v>24</v>
      </c>
      <c r="C14" s="44"/>
      <c r="D14" s="44"/>
      <c r="E14" s="44"/>
      <c r="F14" s="44"/>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144"/>
      <c r="AL14" s="87"/>
      <c r="AM14" s="87"/>
      <c r="AN14" s="87"/>
    </row>
    <row r="15" spans="1:76" ht="63.75">
      <c r="A15" s="82" t="s">
        <v>25</v>
      </c>
      <c r="B15" s="1" t="s">
        <v>26</v>
      </c>
      <c r="C15" s="1" t="s">
        <v>27</v>
      </c>
      <c r="D15" s="8">
        <v>8670.7999999999993</v>
      </c>
      <c r="E15" s="8">
        <v>9248.2000000000007</v>
      </c>
      <c r="F15" s="8">
        <v>10156.270399999999</v>
      </c>
      <c r="G15" s="51">
        <f>G17+(G18-G20)*G23*0.5*12/1000</f>
        <v>10156.270399999999</v>
      </c>
      <c r="H15" s="8" t="s">
        <v>75</v>
      </c>
      <c r="I15" s="8" t="s">
        <v>87</v>
      </c>
      <c r="J15" s="8">
        <f>PRODUCT(F15*1.1)</f>
        <v>11171.897440000001</v>
      </c>
      <c r="K15" s="8">
        <v>10224.038</v>
      </c>
      <c r="L15" s="8">
        <v>10224.038</v>
      </c>
      <c r="M15" s="8">
        <v>10224.038</v>
      </c>
      <c r="N15" s="8">
        <f>N17+(N18-N20)*N22*0.5*12/1000</f>
        <v>11236.808045</v>
      </c>
      <c r="O15" s="33" t="s">
        <v>89</v>
      </c>
      <c r="P15" s="8">
        <f>P18*P23/100</f>
        <v>0</v>
      </c>
      <c r="Q15" s="8">
        <f>P15</f>
        <v>0</v>
      </c>
      <c r="R15" s="33" t="s">
        <v>89</v>
      </c>
      <c r="S15" s="8">
        <f>S18*S23/100</f>
        <v>0</v>
      </c>
      <c r="T15" s="8" t="s">
        <v>109</v>
      </c>
      <c r="U15" s="8">
        <f>5406.7*2</f>
        <v>10813.4</v>
      </c>
      <c r="V15" s="8">
        <f>V17+(V18-V20)*V22*0.5*12/1000</f>
        <v>11769.755925000001</v>
      </c>
      <c r="W15" s="33" t="s">
        <v>89</v>
      </c>
      <c r="X15" s="8">
        <f>X17+(X18-X20)*X22*0.5*12/1000</f>
        <v>11607.234949905</v>
      </c>
      <c r="Y15" s="8" t="s">
        <v>159</v>
      </c>
      <c r="Z15" s="8">
        <f t="shared" ref="Z15:AJ15" si="2">Z17+(Z18-Z20)*Z22*0.5*12/1000</f>
        <v>12579.820176262248</v>
      </c>
      <c r="AA15" s="8">
        <f>AA17+(AA18-AA20)*AA22*0.5*12/1000</f>
        <v>11939.073591199998</v>
      </c>
      <c r="AB15" s="8">
        <f>AB17+(AB18-AB20)*AB22*0.5*12/1000</f>
        <v>11939.073591199998</v>
      </c>
      <c r="AC15" s="33" t="s">
        <v>89</v>
      </c>
      <c r="AD15" s="33" t="s">
        <v>176</v>
      </c>
      <c r="AE15" s="8">
        <f>AE17+(AE18-AE20)*AE22*0.5*12/1000</f>
        <v>11556.461621119168</v>
      </c>
      <c r="AF15" s="8">
        <f>AF17+(AF18-AF20)*AF22*0.5*12/1000</f>
        <v>11311.589928999998</v>
      </c>
      <c r="AG15" s="8">
        <f t="shared" si="2"/>
        <v>11665.732802310002</v>
      </c>
      <c r="AH15" s="8">
        <f t="shared" si="2"/>
        <v>12035.428383118742</v>
      </c>
      <c r="AI15" s="8">
        <f t="shared" si="2"/>
        <v>12416.806539253928</v>
      </c>
      <c r="AJ15" s="8">
        <f t="shared" si="2"/>
        <v>12810.235499212418</v>
      </c>
      <c r="AK15" s="145" t="s">
        <v>214</v>
      </c>
      <c r="AL15" s="87"/>
      <c r="AM15" s="87"/>
      <c r="AN15" s="87"/>
    </row>
    <row r="16" spans="1:76" hidden="1" outlineLevel="1">
      <c r="A16" s="82"/>
      <c r="B16" s="1" t="s">
        <v>110</v>
      </c>
      <c r="C16" s="1"/>
      <c r="D16" s="8"/>
      <c r="E16" s="8"/>
      <c r="F16" s="8"/>
      <c r="G16" s="8"/>
      <c r="H16" s="8"/>
      <c r="I16" s="8"/>
      <c r="J16" s="8"/>
      <c r="K16" s="8"/>
      <c r="L16" s="8"/>
      <c r="M16" s="8"/>
      <c r="N16" s="8"/>
      <c r="O16" s="33"/>
      <c r="P16" s="8"/>
      <c r="Q16" s="8"/>
      <c r="R16" s="33"/>
      <c r="S16" s="8"/>
      <c r="T16" s="8"/>
      <c r="U16" s="8"/>
      <c r="V16" s="8"/>
      <c r="W16" s="8"/>
      <c r="X16" s="8"/>
      <c r="Y16" s="8"/>
      <c r="Z16" s="8"/>
      <c r="AA16" s="8"/>
      <c r="AB16" s="8"/>
      <c r="AC16" s="8"/>
      <c r="AD16" s="8"/>
      <c r="AE16" s="8"/>
      <c r="AF16" s="8"/>
      <c r="AG16" s="47"/>
      <c r="AH16" s="47"/>
      <c r="AI16" s="47"/>
      <c r="AJ16" s="47"/>
      <c r="AK16" s="135"/>
      <c r="AL16" s="87"/>
      <c r="AM16" s="87"/>
      <c r="AN16" s="87"/>
    </row>
    <row r="17" spans="1:40" ht="63.75" hidden="1" outlineLevel="1">
      <c r="A17" s="83"/>
      <c r="B17" s="1" t="s">
        <v>111</v>
      </c>
      <c r="C17" s="1" t="s">
        <v>27</v>
      </c>
      <c r="D17" s="8"/>
      <c r="E17" s="8"/>
      <c r="F17" s="8"/>
      <c r="G17" s="8">
        <f>10156.2704</f>
        <v>10156.270399999999</v>
      </c>
      <c r="H17" s="8"/>
      <c r="I17" s="8"/>
      <c r="J17" s="8"/>
      <c r="K17" s="8"/>
      <c r="L17" s="8"/>
      <c r="M17" s="8"/>
      <c r="N17" s="8">
        <f>10224.038</f>
        <v>10224.038</v>
      </c>
      <c r="O17" s="33"/>
      <c r="P17" s="8"/>
      <c r="Q17" s="8"/>
      <c r="R17" s="33"/>
      <c r="S17" s="8"/>
      <c r="T17" s="8"/>
      <c r="U17" s="8"/>
      <c r="V17" s="8">
        <f>10691.709</f>
        <v>10691.709000000001</v>
      </c>
      <c r="W17" s="33" t="s">
        <v>89</v>
      </c>
      <c r="X17" s="8">
        <f>X22*X20/1000*12</f>
        <v>10559.37961869</v>
      </c>
      <c r="Y17" s="8" t="s">
        <v>157</v>
      </c>
      <c r="Z17" s="8">
        <f t="shared" ref="Z17:AJ17" si="3">Z22*Z20/1000*12</f>
        <v>11510.963522803793</v>
      </c>
      <c r="AA17" s="10">
        <v>10887.608899999999</v>
      </c>
      <c r="AB17" s="8">
        <v>10887.608899999999</v>
      </c>
      <c r="AC17" s="33" t="s">
        <v>89</v>
      </c>
      <c r="AD17" s="33" t="s">
        <v>174</v>
      </c>
      <c r="AE17" s="8">
        <f t="shared" si="3"/>
        <v>10513.179669230767</v>
      </c>
      <c r="AF17" s="8">
        <v>10261.599399999999</v>
      </c>
      <c r="AG17" s="8">
        <f t="shared" si="3"/>
        <v>10579.890484020001</v>
      </c>
      <c r="AH17" s="8">
        <f t="shared" si="3"/>
        <v>10908.045524034842</v>
      </c>
      <c r="AI17" s="8">
        <f t="shared" si="3"/>
        <v>11246.367965014955</v>
      </c>
      <c r="AJ17" s="8">
        <f t="shared" si="3"/>
        <v>11595.172511482244</v>
      </c>
      <c r="AK17" s="145" t="s">
        <v>214</v>
      </c>
      <c r="AL17" s="87"/>
      <c r="AM17" s="87"/>
      <c r="AN17" s="87"/>
    </row>
    <row r="18" spans="1:40" ht="60" collapsed="1">
      <c r="A18" s="82" t="s">
        <v>28</v>
      </c>
      <c r="B18" s="1" t="s">
        <v>29</v>
      </c>
      <c r="C18" s="1" t="s">
        <v>15</v>
      </c>
      <c r="D18" s="3">
        <v>15.606999999999999</v>
      </c>
      <c r="E18" s="3">
        <v>15.449</v>
      </c>
      <c r="F18" s="28">
        <v>13.615</v>
      </c>
      <c r="G18" s="46">
        <v>15.459</v>
      </c>
      <c r="H18" s="28" t="s">
        <v>77</v>
      </c>
      <c r="I18" s="28" t="s">
        <v>77</v>
      </c>
      <c r="J18" s="28">
        <v>15.468999999999999</v>
      </c>
      <c r="K18" s="28">
        <v>15.257999999999999</v>
      </c>
      <c r="L18" s="28">
        <v>15.257999999999999</v>
      </c>
      <c r="M18" s="28">
        <v>12.734999999999999</v>
      </c>
      <c r="N18" s="3">
        <v>15.257999999999999</v>
      </c>
      <c r="O18" s="3" t="s">
        <v>96</v>
      </c>
      <c r="P18" s="3">
        <v>15.268000000000001</v>
      </c>
      <c r="Q18" s="3">
        <v>15.268000000000001</v>
      </c>
      <c r="R18" s="3" t="s">
        <v>96</v>
      </c>
      <c r="S18" s="3">
        <v>15.268000000000001</v>
      </c>
      <c r="T18" s="3" t="s">
        <v>112</v>
      </c>
      <c r="U18" s="3">
        <f>12.735+(12.865-12.735)*2</f>
        <v>12.995000000000001</v>
      </c>
      <c r="V18" s="76">
        <f>N18+(V20-N20)+(V27-N27)/1000</f>
        <v>15.343999999999999</v>
      </c>
      <c r="W18" s="29" t="s">
        <v>89</v>
      </c>
      <c r="X18" s="76">
        <f>V18</f>
        <v>15.343999999999999</v>
      </c>
      <c r="Y18" s="76">
        <f>V18+(Y20-V20)+(Y27-V27)/1000</f>
        <v>15.782999999999999</v>
      </c>
      <c r="Z18" s="76">
        <f>Y18</f>
        <v>15.782999999999999</v>
      </c>
      <c r="AA18" s="52">
        <f>V18+(AA20-V20)+(AA27-V27)/1000</f>
        <v>15.220999999999998</v>
      </c>
      <c r="AB18" s="52">
        <f>AA18</f>
        <v>15.220999999999998</v>
      </c>
      <c r="AC18" s="33" t="s">
        <v>89</v>
      </c>
      <c r="AD18" s="33" t="s">
        <v>89</v>
      </c>
      <c r="AE18" s="52">
        <f>AB18+(AE20-AB20)+(AE27-AB27)/1000</f>
        <v>14.999666666666664</v>
      </c>
      <c r="AF18" s="52">
        <v>14.628</v>
      </c>
      <c r="AG18" s="52">
        <f>AF18+(AG20-AF20)+(AG27-AF27)/1000</f>
        <v>14.65</v>
      </c>
      <c r="AH18" s="52">
        <f t="shared" ref="AH18:AJ18" si="4">AG18+(AH20-AG20)+(AH27-AG27)/1000</f>
        <v>14.682</v>
      </c>
      <c r="AI18" s="52">
        <f t="shared" si="4"/>
        <v>14.714</v>
      </c>
      <c r="AJ18" s="52">
        <f t="shared" si="4"/>
        <v>14.746</v>
      </c>
      <c r="AK18" s="145" t="s">
        <v>195</v>
      </c>
      <c r="AL18" s="146"/>
      <c r="AM18" s="87"/>
    </row>
    <row r="19" spans="1:40" hidden="1" outlineLevel="1">
      <c r="A19" s="82"/>
      <c r="B19" s="1" t="s">
        <v>110</v>
      </c>
      <c r="C19" s="1"/>
      <c r="D19" s="3"/>
      <c r="E19" s="3"/>
      <c r="F19" s="28"/>
      <c r="G19" s="46"/>
      <c r="H19" s="3"/>
      <c r="I19" s="3"/>
      <c r="J19" s="3"/>
      <c r="K19" s="3"/>
      <c r="L19" s="3"/>
      <c r="M19" s="28"/>
      <c r="N19" s="46"/>
      <c r="O19" s="3"/>
      <c r="P19" s="3"/>
      <c r="Q19" s="3"/>
      <c r="R19" s="3"/>
      <c r="S19" s="3"/>
      <c r="T19" s="3"/>
      <c r="U19" s="28"/>
      <c r="V19" s="28"/>
      <c r="W19" s="28"/>
      <c r="X19" s="28"/>
      <c r="Y19" s="28"/>
      <c r="Z19" s="28"/>
      <c r="AA19" s="28"/>
      <c r="AB19" s="28"/>
      <c r="AC19" s="28"/>
      <c r="AD19" s="28"/>
      <c r="AE19" s="28"/>
      <c r="AF19" s="28"/>
      <c r="AG19" s="28"/>
      <c r="AH19" s="28"/>
      <c r="AI19" s="28"/>
      <c r="AJ19" s="28"/>
      <c r="AK19" s="145"/>
      <c r="AL19" s="146"/>
      <c r="AM19" s="87"/>
    </row>
    <row r="20" spans="1:40" ht="60" hidden="1" outlineLevel="1">
      <c r="A20" s="82"/>
      <c r="B20" s="1" t="s">
        <v>113</v>
      </c>
      <c r="C20" s="1" t="s">
        <v>15</v>
      </c>
      <c r="D20" s="3"/>
      <c r="E20" s="46">
        <v>13.351000000000001</v>
      </c>
      <c r="F20" s="28"/>
      <c r="G20" s="28">
        <v>13.615</v>
      </c>
      <c r="H20" s="3"/>
      <c r="I20" s="3"/>
      <c r="J20" s="3"/>
      <c r="K20" s="3"/>
      <c r="L20" s="3"/>
      <c r="M20" s="28"/>
      <c r="N20" s="28">
        <v>12.734999999999999</v>
      </c>
      <c r="O20" s="3"/>
      <c r="P20" s="3"/>
      <c r="Q20" s="3"/>
      <c r="R20" s="3"/>
      <c r="S20" s="3"/>
      <c r="T20" s="3"/>
      <c r="U20" s="28"/>
      <c r="V20" s="28">
        <v>12.769</v>
      </c>
      <c r="W20" s="33" t="s">
        <v>89</v>
      </c>
      <c r="X20" s="28">
        <f>(V20-N20)+V20</f>
        <v>12.803000000000001</v>
      </c>
      <c r="Y20" s="28">
        <v>13.311</v>
      </c>
      <c r="Z20" s="28">
        <f>Y20</f>
        <v>13.311</v>
      </c>
      <c r="AA20" s="28">
        <v>12.757</v>
      </c>
      <c r="AB20" s="28">
        <v>12.757</v>
      </c>
      <c r="AC20" s="33" t="s">
        <v>89</v>
      </c>
      <c r="AD20" s="33" t="s">
        <v>175</v>
      </c>
      <c r="AE20" s="28">
        <f>(V20+AB20+12.021)/3</f>
        <v>12.515666666666666</v>
      </c>
      <c r="AF20" s="56">
        <v>12.143000000000001</v>
      </c>
      <c r="AG20" s="28">
        <f>(V20-AB20)+AF20</f>
        <v>12.155000000000001</v>
      </c>
      <c r="AH20" s="28">
        <f>(AG20-AF20)+AG20</f>
        <v>12.167000000000002</v>
      </c>
      <c r="AI20" s="28">
        <f>(AH20-AG20)+AH20</f>
        <v>12.179000000000002</v>
      </c>
      <c r="AJ20" s="28">
        <f>(AI20-AH20)+AI20</f>
        <v>12.191000000000003</v>
      </c>
      <c r="AK20" s="145" t="s">
        <v>194</v>
      </c>
      <c r="AL20" s="146"/>
      <c r="AM20" s="87"/>
    </row>
    <row r="21" spans="1:40" ht="60" hidden="1" outlineLevel="1">
      <c r="A21" s="82"/>
      <c r="B21" s="1" t="s">
        <v>114</v>
      </c>
      <c r="C21" s="1" t="s">
        <v>15</v>
      </c>
      <c r="D21" s="3"/>
      <c r="E21" s="46"/>
      <c r="F21" s="28"/>
      <c r="G21" s="53">
        <v>2.665</v>
      </c>
      <c r="H21" s="54"/>
      <c r="I21" s="54"/>
      <c r="J21" s="54"/>
      <c r="K21" s="54"/>
      <c r="L21" s="54"/>
      <c r="M21" s="54"/>
      <c r="N21" s="55">
        <v>2.64</v>
      </c>
      <c r="O21" s="54"/>
      <c r="P21" s="54"/>
      <c r="Q21" s="54"/>
      <c r="R21" s="54"/>
      <c r="S21" s="54"/>
      <c r="T21" s="54"/>
      <c r="U21" s="54"/>
      <c r="V21" s="56">
        <f>N21+(V27-N27)/1000</f>
        <v>2.6920000000000002</v>
      </c>
      <c r="W21" s="33" t="s">
        <v>89</v>
      </c>
      <c r="X21" s="56">
        <f>V21+(X27-V27)/1000</f>
        <v>2.7120000000000002</v>
      </c>
      <c r="Y21" s="56">
        <f>V21+(Y27-V27)/1000</f>
        <v>2.589</v>
      </c>
      <c r="Z21" s="56">
        <f>Y21</f>
        <v>2.589</v>
      </c>
      <c r="AA21" s="56">
        <f>V21+(AA27-V27)/1000</f>
        <v>2.581</v>
      </c>
      <c r="AB21" s="56">
        <f>AA21</f>
        <v>2.581</v>
      </c>
      <c r="AC21" s="33" t="s">
        <v>89</v>
      </c>
      <c r="AD21" s="56">
        <f>AB21+(AD27-AB27)/1000</f>
        <v>2.5909999999999997</v>
      </c>
      <c r="AE21" s="56">
        <f>AB21+(AE27-AB27)/1000</f>
        <v>2.601</v>
      </c>
      <c r="AF21" s="56">
        <f>AB21+(AF27-AB27)/1000</f>
        <v>2.6019999999999999</v>
      </c>
      <c r="AG21" s="56">
        <f>AE21+(AG27-AE27)/1000+0.01</f>
        <v>2.6219999999999999</v>
      </c>
      <c r="AH21" s="56">
        <f>AG21+(AH27-AG27)/1000</f>
        <v>2.6419999999999999</v>
      </c>
      <c r="AI21" s="56">
        <f>AH21+(AI27-AH27)/1000</f>
        <v>2.6619999999999999</v>
      </c>
      <c r="AJ21" s="56">
        <f>AI21+(AJ27-AI27)/1000</f>
        <v>2.6819999999999999</v>
      </c>
      <c r="AK21" s="145" t="s">
        <v>155</v>
      </c>
      <c r="AL21" s="146"/>
      <c r="AM21" s="87"/>
    </row>
    <row r="22" spans="1:40" ht="178.5" collapsed="1">
      <c r="A22" s="82" t="s">
        <v>30</v>
      </c>
      <c r="B22" s="1" t="s">
        <v>154</v>
      </c>
      <c r="C22" s="1" t="s">
        <v>31</v>
      </c>
      <c r="D22" s="8">
        <v>49360.3</v>
      </c>
      <c r="E22" s="8">
        <v>57399.4</v>
      </c>
      <c r="F22" s="8">
        <v>62163.5</v>
      </c>
      <c r="G22" s="8">
        <v>62163.5</v>
      </c>
      <c r="H22" s="8" t="s">
        <v>81</v>
      </c>
      <c r="I22" s="8" t="s">
        <v>84</v>
      </c>
      <c r="J22" s="8">
        <v>65893.3</v>
      </c>
      <c r="K22" s="8">
        <v>67026.5</v>
      </c>
      <c r="L22" s="8">
        <v>66902.5</v>
      </c>
      <c r="M22" s="8">
        <v>66902.5</v>
      </c>
      <c r="N22" s="8">
        <v>66902.5</v>
      </c>
      <c r="O22" s="8" t="s">
        <v>97</v>
      </c>
      <c r="P22" s="57">
        <v>71048.100000000006</v>
      </c>
      <c r="Q22" s="57">
        <v>71048.100000000006</v>
      </c>
      <c r="R22" s="8">
        <v>72298</v>
      </c>
      <c r="S22" s="57">
        <v>71048.100000000006</v>
      </c>
      <c r="T22" s="57" t="s">
        <v>115</v>
      </c>
      <c r="U22" s="57">
        <v>71048.100000000006</v>
      </c>
      <c r="V22" s="57">
        <v>69776.5</v>
      </c>
      <c r="W22" s="33" t="s">
        <v>89</v>
      </c>
      <c r="X22" s="57">
        <f>V22*0.985</f>
        <v>68729.852499999994</v>
      </c>
      <c r="Y22" s="57" t="s">
        <v>160</v>
      </c>
      <c r="Z22" s="57">
        <f>V22/70044*72340.5</f>
        <v>72064.22960210724</v>
      </c>
      <c r="AA22" s="57">
        <v>71121.8</v>
      </c>
      <c r="AB22" s="57">
        <v>71121.8</v>
      </c>
      <c r="AC22" s="33" t="s">
        <v>89</v>
      </c>
      <c r="AD22" s="33" t="s">
        <v>177</v>
      </c>
      <c r="AE22" s="57">
        <f>(AB17*1000-((AB56-AE56)*100)/13)/12/AE20</f>
        <v>70000.130964063486</v>
      </c>
      <c r="AF22" s="4">
        <v>70421.899999999994</v>
      </c>
      <c r="AG22" s="57">
        <f>AF22*1.03</f>
        <v>72534.557000000001</v>
      </c>
      <c r="AH22" s="57">
        <f>AG22*1.03</f>
        <v>74710.593710000001</v>
      </c>
      <c r="AI22" s="57">
        <f>AH22*1.03</f>
        <v>76951.911521300004</v>
      </c>
      <c r="AJ22" s="57">
        <f>AI22*1.03</f>
        <v>79260.468866939002</v>
      </c>
      <c r="AK22" s="145" t="s">
        <v>196</v>
      </c>
    </row>
    <row r="23" spans="1:40" ht="38.25">
      <c r="A23" s="82" t="s">
        <v>121</v>
      </c>
      <c r="B23" s="1" t="s">
        <v>122</v>
      </c>
      <c r="C23" s="1" t="s">
        <v>123</v>
      </c>
      <c r="D23" s="8"/>
      <c r="E23" s="8"/>
      <c r="F23" s="8"/>
      <c r="G23" s="8"/>
      <c r="H23" s="8"/>
      <c r="I23" s="8"/>
      <c r="J23" s="8"/>
      <c r="K23" s="8"/>
      <c r="L23" s="8"/>
      <c r="M23" s="8"/>
      <c r="N23" s="47">
        <v>1.2999999999999999E-2</v>
      </c>
      <c r="O23" s="8"/>
      <c r="P23" s="57"/>
      <c r="Q23" s="57"/>
      <c r="R23" s="8"/>
      <c r="S23" s="57"/>
      <c r="T23" s="57"/>
      <c r="U23" s="57"/>
      <c r="V23" s="147">
        <v>1.7000000000000001E-2</v>
      </c>
      <c r="W23" s="75">
        <v>2.5000000000000001E-2</v>
      </c>
      <c r="X23" s="57"/>
      <c r="Y23" s="147">
        <v>2.3E-2</v>
      </c>
      <c r="Z23" s="147">
        <v>2.3E-2</v>
      </c>
      <c r="AA23" s="147">
        <v>2.5999999999999999E-2</v>
      </c>
      <c r="AB23" s="147">
        <v>2.5999999999999999E-2</v>
      </c>
      <c r="AC23" s="147">
        <v>2.8000000000000001E-2</v>
      </c>
      <c r="AD23" s="147" t="s">
        <v>178</v>
      </c>
      <c r="AE23" s="147">
        <v>2.4E-2</v>
      </c>
      <c r="AF23" s="147">
        <v>2.5999999999999999E-2</v>
      </c>
      <c r="AG23" s="147">
        <v>2.5000000000000001E-2</v>
      </c>
      <c r="AH23" s="147">
        <v>2.4E-2</v>
      </c>
      <c r="AI23" s="147">
        <v>2.3E-2</v>
      </c>
      <c r="AJ23" s="147">
        <v>2.1999999999999999E-2</v>
      </c>
      <c r="AK23" s="145" t="s">
        <v>213</v>
      </c>
      <c r="AM23" s="148"/>
    </row>
    <row r="24" spans="1:40" ht="42.75" customHeight="1">
      <c r="A24" s="82" t="s">
        <v>124</v>
      </c>
      <c r="B24" s="1" t="s">
        <v>125</v>
      </c>
      <c r="C24" s="1" t="s">
        <v>31</v>
      </c>
      <c r="D24" s="24"/>
      <c r="E24" s="24"/>
      <c r="F24" s="24"/>
      <c r="G24" s="24">
        <v>15517</v>
      </c>
      <c r="H24" s="24"/>
      <c r="I24" s="24"/>
      <c r="J24" s="8"/>
      <c r="K24" s="8"/>
      <c r="L24" s="8"/>
      <c r="M24" s="8"/>
      <c r="N24" s="86">
        <v>16593</v>
      </c>
      <c r="O24" s="86"/>
      <c r="P24" s="86"/>
      <c r="Q24" s="86"/>
      <c r="R24" s="86"/>
      <c r="S24" s="86"/>
      <c r="T24" s="86"/>
      <c r="U24" s="86"/>
      <c r="V24" s="91">
        <v>18711</v>
      </c>
      <c r="W24" s="86">
        <v>19493</v>
      </c>
      <c r="X24" s="86"/>
      <c r="Y24" s="86">
        <v>19460</v>
      </c>
      <c r="Z24" s="54">
        <v>19400</v>
      </c>
      <c r="AA24" s="54">
        <v>19120</v>
      </c>
      <c r="AB24" s="54">
        <v>19120</v>
      </c>
      <c r="AC24" s="54">
        <v>20819</v>
      </c>
      <c r="AD24" s="54">
        <v>21049</v>
      </c>
      <c r="AE24" s="78">
        <f>AD24*AE36/100</f>
        <v>21848.861999999997</v>
      </c>
      <c r="AF24" s="78">
        <v>20622</v>
      </c>
      <c r="AG24" s="78">
        <f>AF24*AG36/100</f>
        <v>21446.880000000001</v>
      </c>
      <c r="AH24" s="78">
        <f t="shared" ref="AH24:AJ24" si="5">AG24*AH36/100</f>
        <v>22304.7552</v>
      </c>
      <c r="AI24" s="78">
        <f t="shared" si="5"/>
        <v>23196.945408</v>
      </c>
      <c r="AJ24" s="78">
        <f t="shared" si="5"/>
        <v>24124.823224320004</v>
      </c>
      <c r="AK24" s="135" t="s">
        <v>212</v>
      </c>
      <c r="AL24" s="149"/>
      <c r="AM24" s="87"/>
      <c r="AN24" s="87"/>
    </row>
    <row r="25" spans="1:40">
      <c r="A25" s="82" t="s">
        <v>32</v>
      </c>
      <c r="B25" s="50" t="s">
        <v>33</v>
      </c>
      <c r="C25" s="1"/>
      <c r="D25" s="44"/>
      <c r="E25" s="44"/>
      <c r="F25" s="44"/>
      <c r="G25" s="44"/>
      <c r="H25" s="44"/>
      <c r="I25" s="44"/>
      <c r="J25" s="44"/>
      <c r="K25" s="44"/>
      <c r="L25" s="44"/>
      <c r="M25" s="45"/>
      <c r="N25" s="45"/>
      <c r="O25" s="45"/>
      <c r="P25" s="45"/>
      <c r="Q25" s="45"/>
      <c r="R25" s="45"/>
      <c r="S25" s="45"/>
      <c r="T25" s="45"/>
      <c r="U25" s="45"/>
      <c r="V25" s="90"/>
      <c r="W25" s="45"/>
      <c r="X25" s="45"/>
      <c r="Y25" s="45"/>
      <c r="Z25" s="45"/>
      <c r="AA25" s="150"/>
      <c r="AB25" s="45"/>
      <c r="AC25" s="151"/>
      <c r="AD25" s="151"/>
      <c r="AE25" s="151"/>
      <c r="AF25" s="151"/>
      <c r="AG25" s="45"/>
      <c r="AH25" s="45"/>
      <c r="AI25" s="45"/>
      <c r="AJ25" s="45"/>
      <c r="AK25" s="144"/>
      <c r="AL25" s="87"/>
      <c r="AM25" s="87"/>
      <c r="AN25" s="87"/>
    </row>
    <row r="26" spans="1:40" ht="34.5" customHeight="1">
      <c r="A26" s="178" t="s">
        <v>34</v>
      </c>
      <c r="B26" s="60" t="s">
        <v>116</v>
      </c>
      <c r="C26" s="61" t="s">
        <v>72</v>
      </c>
      <c r="D26" s="15">
        <f>229+608</f>
        <v>837</v>
      </c>
      <c r="E26" s="15">
        <f>222+715</f>
        <v>937</v>
      </c>
      <c r="F26" s="15">
        <v>1025</v>
      </c>
      <c r="G26" s="62">
        <f>359+644</f>
        <v>1003</v>
      </c>
      <c r="H26" s="63"/>
      <c r="I26" s="59" t="s">
        <v>89</v>
      </c>
      <c r="J26" s="63">
        <f>F26+25</f>
        <v>1050</v>
      </c>
      <c r="K26" s="63">
        <v>1308</v>
      </c>
      <c r="L26" s="63">
        <v>1308</v>
      </c>
      <c r="M26" s="63">
        <v>1308</v>
      </c>
      <c r="N26" s="63">
        <f>354+636</f>
        <v>990</v>
      </c>
      <c r="O26" s="33" t="s">
        <v>89</v>
      </c>
      <c r="P26" s="63">
        <v>1333</v>
      </c>
      <c r="Q26" s="63">
        <v>1333</v>
      </c>
      <c r="R26" s="33" t="s">
        <v>89</v>
      </c>
      <c r="S26" s="63">
        <v>1333</v>
      </c>
      <c r="T26" s="64" t="s">
        <v>89</v>
      </c>
      <c r="U26" s="63">
        <v>1345</v>
      </c>
      <c r="V26" s="63">
        <f>375+688</f>
        <v>1063</v>
      </c>
      <c r="W26" s="33" t="s">
        <v>89</v>
      </c>
      <c r="X26" s="63">
        <f>V26+30</f>
        <v>1093</v>
      </c>
      <c r="Y26" s="74">
        <f>Y27+Y28</f>
        <v>857</v>
      </c>
      <c r="Z26" s="74">
        <f>Z27+Z28</f>
        <v>1093</v>
      </c>
      <c r="AA26" s="74">
        <f>AA27+AA28</f>
        <v>853</v>
      </c>
      <c r="AB26" s="74">
        <f t="shared" ref="AB26:AF26" si="6">AB27+AB28</f>
        <v>853</v>
      </c>
      <c r="AC26" s="74">
        <f t="shared" si="6"/>
        <v>735</v>
      </c>
      <c r="AD26" s="74">
        <f t="shared" si="6"/>
        <v>839</v>
      </c>
      <c r="AE26" s="74">
        <f>AB26+10</f>
        <v>863</v>
      </c>
      <c r="AF26" s="74">
        <f t="shared" si="6"/>
        <v>859</v>
      </c>
      <c r="AG26" s="63">
        <f>AF26+22</f>
        <v>881</v>
      </c>
      <c r="AH26" s="63">
        <f>AG26+15</f>
        <v>896</v>
      </c>
      <c r="AI26" s="63">
        <f>AH26+15</f>
        <v>911</v>
      </c>
      <c r="AJ26" s="63">
        <f>AI26+15</f>
        <v>926</v>
      </c>
      <c r="AK26" s="176" t="s">
        <v>197</v>
      </c>
      <c r="AL26" s="87"/>
      <c r="AM26" s="87"/>
      <c r="AN26" s="87"/>
    </row>
    <row r="27" spans="1:40" ht="15" customHeight="1">
      <c r="A27" s="179"/>
      <c r="B27" s="72" t="s">
        <v>126</v>
      </c>
      <c r="C27" s="61" t="s">
        <v>72</v>
      </c>
      <c r="D27" s="15">
        <v>671</v>
      </c>
      <c r="E27" s="15">
        <v>697</v>
      </c>
      <c r="F27" s="15">
        <v>675</v>
      </c>
      <c r="G27" s="62">
        <v>644</v>
      </c>
      <c r="H27" s="63"/>
      <c r="I27" s="59" t="s">
        <v>89</v>
      </c>
      <c r="J27" s="63">
        <v>685</v>
      </c>
      <c r="K27" s="63">
        <v>850</v>
      </c>
      <c r="L27" s="63">
        <v>850</v>
      </c>
      <c r="M27" s="63">
        <v>850</v>
      </c>
      <c r="N27" s="63">
        <v>636</v>
      </c>
      <c r="O27" s="33" t="s">
        <v>89</v>
      </c>
      <c r="P27" s="63">
        <v>870</v>
      </c>
      <c r="Q27" s="63">
        <v>870</v>
      </c>
      <c r="R27" s="33" t="s">
        <v>89</v>
      </c>
      <c r="S27" s="63">
        <v>870</v>
      </c>
      <c r="T27" s="64" t="s">
        <v>89</v>
      </c>
      <c r="U27" s="63">
        <v>870</v>
      </c>
      <c r="V27" s="63">
        <v>688</v>
      </c>
      <c r="W27" s="33" t="s">
        <v>89</v>
      </c>
      <c r="X27" s="63">
        <f>V27+20</f>
        <v>708</v>
      </c>
      <c r="Y27" s="63">
        <v>585</v>
      </c>
      <c r="Z27" s="63">
        <f>X27</f>
        <v>708</v>
      </c>
      <c r="AA27" s="63">
        <v>577</v>
      </c>
      <c r="AB27" s="63">
        <v>577</v>
      </c>
      <c r="AC27" s="63">
        <v>570</v>
      </c>
      <c r="AD27" s="63">
        <v>587</v>
      </c>
      <c r="AE27" s="63">
        <f>AD27+10</f>
        <v>597</v>
      </c>
      <c r="AF27" s="63">
        <v>598</v>
      </c>
      <c r="AG27" s="63">
        <f>AF27+10</f>
        <v>608</v>
      </c>
      <c r="AH27" s="63">
        <f t="shared" ref="AH27:AJ27" si="7">AG27+20</f>
        <v>628</v>
      </c>
      <c r="AI27" s="63">
        <f t="shared" si="7"/>
        <v>648</v>
      </c>
      <c r="AJ27" s="63">
        <f t="shared" si="7"/>
        <v>668</v>
      </c>
      <c r="AK27" s="177"/>
      <c r="AL27" s="87"/>
      <c r="AM27" s="87"/>
      <c r="AN27" s="87"/>
    </row>
    <row r="28" spans="1:40" ht="15" customHeight="1">
      <c r="A28" s="180"/>
      <c r="B28" s="72" t="s">
        <v>127</v>
      </c>
      <c r="C28" s="61" t="s">
        <v>72</v>
      </c>
      <c r="D28" s="2"/>
      <c r="E28" s="25"/>
      <c r="F28" s="25"/>
      <c r="G28" s="58"/>
      <c r="H28" s="25"/>
      <c r="I28" s="59"/>
      <c r="J28" s="25"/>
      <c r="K28" s="25"/>
      <c r="L28" s="25"/>
      <c r="M28" s="25"/>
      <c r="N28" s="25">
        <v>354</v>
      </c>
      <c r="O28" s="33"/>
      <c r="P28" s="25"/>
      <c r="Q28" s="25"/>
      <c r="R28" s="33"/>
      <c r="S28" s="25"/>
      <c r="T28" s="59"/>
      <c r="U28" s="25"/>
      <c r="V28" s="25">
        <v>375</v>
      </c>
      <c r="W28" s="33" t="s">
        <v>89</v>
      </c>
      <c r="X28" s="74">
        <f>V28+10</f>
        <v>385</v>
      </c>
      <c r="Y28" s="25">
        <v>272</v>
      </c>
      <c r="Z28" s="25">
        <f>X28</f>
        <v>385</v>
      </c>
      <c r="AA28" s="25">
        <v>276</v>
      </c>
      <c r="AB28" s="25">
        <v>276</v>
      </c>
      <c r="AC28" s="25">
        <v>165</v>
      </c>
      <c r="AD28" s="25">
        <v>252</v>
      </c>
      <c r="AE28" s="25">
        <f>AE26-AE27</f>
        <v>266</v>
      </c>
      <c r="AF28" s="25">
        <v>261</v>
      </c>
      <c r="AG28" s="25">
        <f t="shared" ref="AG28:AJ28" si="8">AG26-AG27</f>
        <v>273</v>
      </c>
      <c r="AH28" s="25">
        <f t="shared" si="8"/>
        <v>268</v>
      </c>
      <c r="AI28" s="25">
        <f t="shared" si="8"/>
        <v>263</v>
      </c>
      <c r="AJ28" s="25">
        <f t="shared" si="8"/>
        <v>258</v>
      </c>
      <c r="AK28" s="173"/>
      <c r="AL28" s="87"/>
      <c r="AM28" s="87"/>
      <c r="AN28" s="87"/>
    </row>
    <row r="29" spans="1:40" ht="45">
      <c r="A29" s="84" t="s">
        <v>35</v>
      </c>
      <c r="B29" s="60" t="s">
        <v>128</v>
      </c>
      <c r="C29" s="61" t="s">
        <v>72</v>
      </c>
      <c r="D29" s="16"/>
      <c r="E29" s="16"/>
      <c r="F29" s="16"/>
      <c r="G29" s="16"/>
      <c r="H29" s="17"/>
      <c r="I29" s="14"/>
      <c r="J29" s="16"/>
      <c r="K29" s="16"/>
      <c r="L29" s="16"/>
      <c r="M29" s="16"/>
      <c r="N29" s="54">
        <v>50</v>
      </c>
      <c r="O29" s="152"/>
      <c r="P29" s="54"/>
      <c r="Q29" s="54"/>
      <c r="R29" s="152"/>
      <c r="S29" s="54"/>
      <c r="T29" s="152"/>
      <c r="U29" s="54"/>
      <c r="V29" s="54">
        <v>60</v>
      </c>
      <c r="W29" s="33" t="s">
        <v>89</v>
      </c>
      <c r="X29" s="54">
        <v>58</v>
      </c>
      <c r="Y29" s="33" t="s">
        <v>162</v>
      </c>
      <c r="Z29" s="54">
        <f>V29/V27*Z27</f>
        <v>61.744186046511629</v>
      </c>
      <c r="AA29" s="26">
        <v>78</v>
      </c>
      <c r="AB29" s="54">
        <v>78</v>
      </c>
      <c r="AC29" s="33" t="s">
        <v>89</v>
      </c>
      <c r="AD29" s="33" t="s">
        <v>179</v>
      </c>
      <c r="AE29" s="54">
        <f>(82-78)+82</f>
        <v>86</v>
      </c>
      <c r="AF29" s="54">
        <v>95</v>
      </c>
      <c r="AG29" s="54">
        <f>AF29/AE27*AG27</f>
        <v>96.750418760469017</v>
      </c>
      <c r="AH29" s="54">
        <f t="shared" ref="AH29:AJ29" si="9">AG29/AG27*AH27</f>
        <v>99.932998324958135</v>
      </c>
      <c r="AI29" s="54">
        <f t="shared" si="9"/>
        <v>103.11557788944725</v>
      </c>
      <c r="AJ29" s="54">
        <f t="shared" si="9"/>
        <v>106.29815745393635</v>
      </c>
      <c r="AK29" s="145" t="s">
        <v>215</v>
      </c>
      <c r="AL29" s="153"/>
      <c r="AM29" s="87"/>
      <c r="AN29" s="87"/>
    </row>
    <row r="30" spans="1:40" ht="45">
      <c r="A30" s="178" t="s">
        <v>36</v>
      </c>
      <c r="B30" s="1" t="s">
        <v>69</v>
      </c>
      <c r="C30" s="1" t="s">
        <v>27</v>
      </c>
      <c r="D30" s="10">
        <v>1379.9</v>
      </c>
      <c r="E30" s="10">
        <f>PRODUCT(D30*1.055)</f>
        <v>1455.7945</v>
      </c>
      <c r="F30" s="10">
        <f>PRODUCT(E30*1.062)</f>
        <v>1546.0537590000001</v>
      </c>
      <c r="G30" s="10">
        <f>PRODUCT(E30*1.062)</f>
        <v>1546.0537590000001</v>
      </c>
      <c r="H30" s="9" t="s">
        <v>76</v>
      </c>
      <c r="I30" s="14" t="s">
        <v>89</v>
      </c>
      <c r="J30" s="10">
        <f>PRODUCT(F30*1.068)</f>
        <v>1651.1854146120002</v>
      </c>
      <c r="K30" s="10">
        <f>F30*1.067</f>
        <v>1649.639360853</v>
      </c>
      <c r="L30" s="10">
        <f>F30*1.067</f>
        <v>1649.639360853</v>
      </c>
      <c r="M30" s="10">
        <f>F30*1.067</f>
        <v>1649.639360853</v>
      </c>
      <c r="N30" s="10">
        <f>G30*1.067</f>
        <v>1649.639360853</v>
      </c>
      <c r="O30" s="33" t="s">
        <v>89</v>
      </c>
      <c r="P30" s="10">
        <f>PRODUCT(K30*1.051)</f>
        <v>1733.7709682565028</v>
      </c>
      <c r="Q30" s="10">
        <f>K30*1.051</f>
        <v>1733.7709682565028</v>
      </c>
      <c r="R30" s="33" t="s">
        <v>89</v>
      </c>
      <c r="S30" s="10">
        <f>L30*1.051</f>
        <v>1733.7709682565028</v>
      </c>
      <c r="T30" s="59" t="s">
        <v>89</v>
      </c>
      <c r="U30" s="10">
        <f>M30*1.051</f>
        <v>1733.7709682565028</v>
      </c>
      <c r="V30" s="10">
        <f>N30*1.1535</f>
        <v>1902.8590027439354</v>
      </c>
      <c r="W30" s="33" t="s">
        <v>89</v>
      </c>
      <c r="X30" s="10">
        <f>V30*1.064</f>
        <v>2024.6419789195475</v>
      </c>
      <c r="Y30" s="33" t="s">
        <v>89</v>
      </c>
      <c r="Z30" s="10">
        <f>V30*Z36/100</f>
        <v>2045.5734279497306</v>
      </c>
      <c r="AA30" s="10" t="s">
        <v>169</v>
      </c>
      <c r="AB30" s="10">
        <f>V30*AB36/100</f>
        <v>2005.6133888921081</v>
      </c>
      <c r="AC30" s="33" t="s">
        <v>89</v>
      </c>
      <c r="AD30" s="33" t="s">
        <v>89</v>
      </c>
      <c r="AE30" s="10">
        <f>V30*AB36*AE36/10000</f>
        <v>2081.8266976700083</v>
      </c>
      <c r="AF30" s="10">
        <f>AB30*AF36/100</f>
        <v>2055.7537236144108</v>
      </c>
      <c r="AG30" s="10">
        <f>AF30*AG36/100</f>
        <v>2137.9838725589875</v>
      </c>
      <c r="AH30" s="10">
        <f>AG30*AH36/100</f>
        <v>2223.5032274613473</v>
      </c>
      <c r="AI30" s="10">
        <f>AH30*AI36/100</f>
        <v>2312.443356559801</v>
      </c>
      <c r="AJ30" s="10">
        <f>AI30*AJ36/100</f>
        <v>2404.941090822193</v>
      </c>
      <c r="AK30" s="145" t="s">
        <v>217</v>
      </c>
      <c r="AL30" s="87"/>
      <c r="AM30" s="87"/>
      <c r="AN30" s="87"/>
    </row>
    <row r="31" spans="1:40" ht="17.25" customHeight="1">
      <c r="A31" s="181"/>
      <c r="B31" s="1" t="s">
        <v>70</v>
      </c>
      <c r="C31" s="1" t="s">
        <v>27</v>
      </c>
      <c r="D31" s="10"/>
      <c r="E31" s="10"/>
      <c r="F31" s="10"/>
      <c r="G31" s="10"/>
      <c r="H31" s="10"/>
      <c r="I31" s="14" t="s">
        <v>89</v>
      </c>
      <c r="J31" s="10"/>
      <c r="K31" s="10"/>
      <c r="L31" s="10"/>
      <c r="M31" s="10"/>
      <c r="N31" s="10"/>
      <c r="O31" s="33" t="s">
        <v>89</v>
      </c>
      <c r="P31" s="10"/>
      <c r="Q31" s="10"/>
      <c r="R31" s="33" t="s">
        <v>89</v>
      </c>
      <c r="S31" s="10"/>
      <c r="T31" s="59" t="s">
        <v>89</v>
      </c>
      <c r="U31" s="10"/>
      <c r="V31" s="10"/>
      <c r="W31" s="10"/>
      <c r="X31" s="32"/>
      <c r="Y31" s="32"/>
      <c r="Z31" s="32"/>
      <c r="AA31" s="32"/>
      <c r="AB31" s="32"/>
      <c r="AC31" s="32"/>
      <c r="AD31" s="32"/>
      <c r="AE31" s="32"/>
      <c r="AF31" s="32"/>
      <c r="AG31" s="10"/>
      <c r="AH31" s="10"/>
      <c r="AI31" s="10"/>
      <c r="AJ31" s="10"/>
      <c r="AK31" s="183" t="s">
        <v>188</v>
      </c>
      <c r="AL31" s="87"/>
      <c r="AM31" s="87"/>
      <c r="AN31" s="87"/>
    </row>
    <row r="32" spans="1:40" ht="16.5" customHeight="1">
      <c r="A32" s="182"/>
      <c r="B32" s="1" t="s">
        <v>71</v>
      </c>
      <c r="C32" s="1" t="s">
        <v>27</v>
      </c>
      <c r="D32" s="10"/>
      <c r="E32" s="10"/>
      <c r="F32" s="10"/>
      <c r="G32" s="10"/>
      <c r="H32" s="10"/>
      <c r="I32" s="14" t="s">
        <v>89</v>
      </c>
      <c r="J32" s="10"/>
      <c r="K32" s="10"/>
      <c r="L32" s="10"/>
      <c r="M32" s="10"/>
      <c r="N32" s="10"/>
      <c r="O32" s="33" t="s">
        <v>89</v>
      </c>
      <c r="P32" s="10"/>
      <c r="Q32" s="10"/>
      <c r="R32" s="33" t="s">
        <v>89</v>
      </c>
      <c r="S32" s="10"/>
      <c r="T32" s="59" t="s">
        <v>89</v>
      </c>
      <c r="U32" s="10"/>
      <c r="V32" s="10"/>
      <c r="W32" s="10"/>
      <c r="X32" s="10"/>
      <c r="Y32" s="10"/>
      <c r="Z32" s="10"/>
      <c r="AA32" s="10"/>
      <c r="AB32" s="10"/>
      <c r="AC32" s="10"/>
      <c r="AD32" s="10"/>
      <c r="AE32" s="10"/>
      <c r="AF32" s="10"/>
      <c r="AG32" s="10"/>
      <c r="AH32" s="10"/>
      <c r="AI32" s="10"/>
      <c r="AJ32" s="10"/>
      <c r="AK32" s="173"/>
      <c r="AL32" s="87"/>
      <c r="AM32" s="87"/>
      <c r="AN32" s="87"/>
    </row>
    <row r="33" spans="1:40">
      <c r="A33" s="82" t="s">
        <v>37</v>
      </c>
      <c r="B33" s="50" t="s">
        <v>38</v>
      </c>
      <c r="C33" s="6"/>
      <c r="D33" s="29"/>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145"/>
      <c r="AL33" s="87"/>
      <c r="AM33" s="87"/>
      <c r="AN33" s="87"/>
    </row>
    <row r="34" spans="1:40" ht="45">
      <c r="A34" s="82" t="s">
        <v>39</v>
      </c>
      <c r="B34" s="1" t="s">
        <v>40</v>
      </c>
      <c r="C34" s="6" t="s">
        <v>41</v>
      </c>
      <c r="D34" s="8">
        <v>1613.5</v>
      </c>
      <c r="E34" s="8">
        <v>1791.7</v>
      </c>
      <c r="F34" s="18">
        <v>1921.3</v>
      </c>
      <c r="G34" s="18">
        <v>1921.3</v>
      </c>
      <c r="H34" s="18" t="s">
        <v>82</v>
      </c>
      <c r="I34" s="14" t="s">
        <v>89</v>
      </c>
      <c r="J34" s="18">
        <f>PRODUCT(F34*1.063)</f>
        <v>2042.3418999999999</v>
      </c>
      <c r="K34" s="10">
        <f>F34*1.067</f>
        <v>2050.0270999999998</v>
      </c>
      <c r="L34" s="31">
        <v>2293.6</v>
      </c>
      <c r="M34" s="31">
        <v>2293.6</v>
      </c>
      <c r="N34" s="31">
        <v>2293.6</v>
      </c>
      <c r="O34" s="33" t="s">
        <v>89</v>
      </c>
      <c r="P34" s="10">
        <f t="shared" ref="P34:P35" si="10">PRODUCT(K34*1.051)</f>
        <v>2154.5784820999997</v>
      </c>
      <c r="Q34" s="10">
        <f>L34*1.156</f>
        <v>2651.4015999999997</v>
      </c>
      <c r="R34" s="33" t="s">
        <v>89</v>
      </c>
      <c r="S34" s="10">
        <f>L34*1.156</f>
        <v>2651.4015999999997</v>
      </c>
      <c r="T34" s="59" t="s">
        <v>89</v>
      </c>
      <c r="U34" s="10">
        <f>M34*1.156</f>
        <v>2651.4015999999997</v>
      </c>
      <c r="V34" s="10">
        <v>2286.98</v>
      </c>
      <c r="W34" s="33" t="s">
        <v>89</v>
      </c>
      <c r="X34" s="10">
        <f>V34*1.064</f>
        <v>2433.34672</v>
      </c>
      <c r="Y34" s="33" t="s">
        <v>89</v>
      </c>
      <c r="Z34" s="10">
        <f>V34</f>
        <v>2286.98</v>
      </c>
      <c r="AA34" s="10" t="s">
        <v>167</v>
      </c>
      <c r="AB34" s="10">
        <v>3857.0309999999999</v>
      </c>
      <c r="AC34" s="33" t="s">
        <v>89</v>
      </c>
      <c r="AD34" s="33" t="s">
        <v>89</v>
      </c>
      <c r="AE34" s="10">
        <f>AB34*AB36*AE36/10000</f>
        <v>4219.7924796119996</v>
      </c>
      <c r="AF34" s="10">
        <v>2335.7035000000001</v>
      </c>
      <c r="AG34" s="10">
        <f>AF34*AG36/100</f>
        <v>2429.1316400000001</v>
      </c>
      <c r="AH34" s="10">
        <f>AG34*AH36/100</f>
        <v>2526.2969056000002</v>
      </c>
      <c r="AI34" s="10">
        <f>AH34*AI36/100</f>
        <v>2627.3487818240001</v>
      </c>
      <c r="AJ34" s="10">
        <f>AI34*AJ36/100</f>
        <v>2732.4427330969602</v>
      </c>
      <c r="AK34" s="145" t="s">
        <v>186</v>
      </c>
      <c r="AL34" s="87"/>
      <c r="AM34" s="87"/>
      <c r="AN34" s="87"/>
    </row>
    <row r="35" spans="1:40" ht="45">
      <c r="A35" s="82" t="s">
        <v>42</v>
      </c>
      <c r="B35" s="1" t="s">
        <v>43</v>
      </c>
      <c r="C35" s="6" t="s">
        <v>41</v>
      </c>
      <c r="D35" s="3">
        <v>345.5</v>
      </c>
      <c r="E35" s="3">
        <v>379.61</v>
      </c>
      <c r="F35" s="3">
        <v>386.4</v>
      </c>
      <c r="G35" s="3">
        <v>386.4</v>
      </c>
      <c r="H35" s="3" t="s">
        <v>80</v>
      </c>
      <c r="I35" s="14" t="s">
        <v>89</v>
      </c>
      <c r="J35" s="3">
        <f>PRODUCT(F35*1.073)</f>
        <v>414.60719999999998</v>
      </c>
      <c r="K35" s="3">
        <v>376.7</v>
      </c>
      <c r="L35" s="3">
        <v>376.72680000000003</v>
      </c>
      <c r="M35" s="3">
        <v>376.72680000000003</v>
      </c>
      <c r="N35" s="3">
        <v>376.72680000000003</v>
      </c>
      <c r="O35" s="33" t="s">
        <v>89</v>
      </c>
      <c r="P35" s="10">
        <f t="shared" si="10"/>
        <v>395.91169999999994</v>
      </c>
      <c r="Q35" s="10">
        <f>L35*1.156</f>
        <v>435.49618079999999</v>
      </c>
      <c r="R35" s="33" t="s">
        <v>89</v>
      </c>
      <c r="S35" s="10">
        <f>L35*1.156</f>
        <v>435.49618079999999</v>
      </c>
      <c r="T35" s="59" t="s">
        <v>89</v>
      </c>
      <c r="U35" s="10">
        <f>M35*1.156</f>
        <v>435.49618079999999</v>
      </c>
      <c r="V35" s="10">
        <v>486.51119999999997</v>
      </c>
      <c r="W35" s="33" t="s">
        <v>89</v>
      </c>
      <c r="X35" s="10">
        <f>V35*1.064</f>
        <v>517.64791679999996</v>
      </c>
      <c r="Y35" s="33" t="s">
        <v>89</v>
      </c>
      <c r="Z35" s="10">
        <f>V35*Z36/100</f>
        <v>522.99954000000002</v>
      </c>
      <c r="AA35" s="10" t="s">
        <v>168</v>
      </c>
      <c r="AB35" s="10">
        <v>497.65730000000002</v>
      </c>
      <c r="AC35" s="33" t="s">
        <v>89</v>
      </c>
      <c r="AD35" s="33" t="s">
        <v>89</v>
      </c>
      <c r="AE35" s="10">
        <f>AB35*AB36*AE36/10000</f>
        <v>544.46296437959995</v>
      </c>
      <c r="AF35" s="10">
        <v>746.5</v>
      </c>
      <c r="AG35" s="10">
        <f>AF35*AG36/100</f>
        <v>776.36</v>
      </c>
      <c r="AH35" s="10">
        <f>AG35*AH36/100</f>
        <v>807.4144</v>
      </c>
      <c r="AI35" s="10">
        <f>AH35*AI36/100</f>
        <v>839.71097599999996</v>
      </c>
      <c r="AJ35" s="10">
        <f>AI35*AJ36/100</f>
        <v>873.29941503999999</v>
      </c>
      <c r="AK35" s="145" t="s">
        <v>186</v>
      </c>
      <c r="AL35" s="87"/>
      <c r="AM35" s="87"/>
      <c r="AN35" s="87"/>
    </row>
    <row r="36" spans="1:40" ht="46.5" customHeight="1">
      <c r="A36" s="82" t="s">
        <v>44</v>
      </c>
      <c r="B36" s="1" t="s">
        <v>129</v>
      </c>
      <c r="C36" s="6" t="s">
        <v>123</v>
      </c>
      <c r="D36" s="3"/>
      <c r="E36" s="3"/>
      <c r="F36" s="3"/>
      <c r="G36" s="3"/>
      <c r="H36" s="3"/>
      <c r="I36" s="14"/>
      <c r="J36" s="3"/>
      <c r="K36" s="10"/>
      <c r="L36" s="10"/>
      <c r="M36" s="10"/>
      <c r="N36" s="10">
        <v>109.71</v>
      </c>
      <c r="O36" s="31"/>
      <c r="P36" s="10"/>
      <c r="Q36" s="10"/>
      <c r="R36" s="31"/>
      <c r="S36" s="10"/>
      <c r="T36" s="31"/>
      <c r="U36" s="10"/>
      <c r="V36" s="10">
        <v>115.35</v>
      </c>
      <c r="W36" s="33">
        <v>111.71</v>
      </c>
      <c r="X36" s="10"/>
      <c r="Y36" s="16" t="s">
        <v>161</v>
      </c>
      <c r="Z36" s="10">
        <v>107.5</v>
      </c>
      <c r="AA36" s="10">
        <v>105.4</v>
      </c>
      <c r="AB36" s="10">
        <v>105.4</v>
      </c>
      <c r="AC36" s="10">
        <v>104.4</v>
      </c>
      <c r="AD36" s="10">
        <v>103</v>
      </c>
      <c r="AE36" s="10">
        <v>103.8</v>
      </c>
      <c r="AF36" s="10">
        <v>102.5</v>
      </c>
      <c r="AG36" s="10">
        <v>104</v>
      </c>
      <c r="AH36" s="10">
        <v>104</v>
      </c>
      <c r="AI36" s="10">
        <v>104</v>
      </c>
      <c r="AJ36" s="10">
        <v>104</v>
      </c>
      <c r="AK36" s="145" t="s">
        <v>216</v>
      </c>
      <c r="AL36" s="87"/>
      <c r="AM36" s="87"/>
      <c r="AN36" s="87"/>
    </row>
    <row r="37" spans="1:40" ht="28.5">
      <c r="A37" s="82" t="s">
        <v>45</v>
      </c>
      <c r="B37" s="73" t="s">
        <v>130</v>
      </c>
      <c r="C37" s="6"/>
      <c r="D37" s="29"/>
      <c r="E37" s="65"/>
      <c r="F37" s="65"/>
      <c r="G37" s="65"/>
      <c r="H37" s="65"/>
      <c r="I37" s="65"/>
      <c r="J37" s="65"/>
      <c r="K37" s="65"/>
      <c r="L37" s="65"/>
      <c r="M37" s="65"/>
      <c r="N37" s="65"/>
      <c r="O37" s="65"/>
      <c r="P37" s="65"/>
      <c r="Q37" s="65"/>
      <c r="R37" s="65"/>
      <c r="S37" s="65"/>
      <c r="T37" s="65"/>
      <c r="U37" s="10"/>
      <c r="V37" s="10"/>
      <c r="W37" s="10"/>
      <c r="X37" s="32"/>
      <c r="Y37" s="32"/>
      <c r="Z37" s="32"/>
      <c r="AA37" s="32"/>
      <c r="AB37" s="32"/>
      <c r="AC37" s="32"/>
      <c r="AD37" s="32"/>
      <c r="AE37" s="32"/>
      <c r="AF37" s="32"/>
      <c r="AG37" s="65"/>
      <c r="AH37" s="65"/>
      <c r="AI37" s="65"/>
      <c r="AJ37" s="65"/>
      <c r="AK37" s="144"/>
      <c r="AL37" s="87"/>
      <c r="AM37" s="87"/>
      <c r="AN37" s="87"/>
    </row>
    <row r="38" spans="1:40" ht="99" customHeight="1">
      <c r="A38" s="82" t="s">
        <v>46</v>
      </c>
      <c r="B38" s="1" t="s">
        <v>131</v>
      </c>
      <c r="C38" s="6" t="s">
        <v>72</v>
      </c>
      <c r="D38" s="25"/>
      <c r="E38" s="25"/>
      <c r="F38" s="25"/>
      <c r="G38" s="25"/>
      <c r="H38" s="25"/>
      <c r="I38" s="25"/>
      <c r="J38" s="25"/>
      <c r="K38" s="25"/>
      <c r="L38" s="25"/>
      <c r="M38" s="25"/>
      <c r="N38" s="25">
        <v>425</v>
      </c>
      <c r="O38" s="33"/>
      <c r="P38" s="25"/>
      <c r="Q38" s="25"/>
      <c r="R38" s="33"/>
      <c r="S38" s="25"/>
      <c r="T38" s="33"/>
      <c r="U38" s="25"/>
      <c r="V38" s="63">
        <v>416</v>
      </c>
      <c r="W38" s="33" t="s">
        <v>89</v>
      </c>
      <c r="X38" s="33" t="s">
        <v>89</v>
      </c>
      <c r="Y38" s="25">
        <v>404</v>
      </c>
      <c r="Z38" s="25">
        <f>Y38+2</f>
        <v>406</v>
      </c>
      <c r="AA38" s="25">
        <v>401</v>
      </c>
      <c r="AB38" s="25">
        <f>AB40</f>
        <v>401</v>
      </c>
      <c r="AC38" s="33" t="s">
        <v>89</v>
      </c>
      <c r="AD38" s="59">
        <f>AD40</f>
        <v>400</v>
      </c>
      <c r="AE38" s="59">
        <f t="shared" ref="AE38" si="11">AE40</f>
        <v>396</v>
      </c>
      <c r="AF38" s="25">
        <f>AF40</f>
        <v>383</v>
      </c>
      <c r="AG38" s="25">
        <f t="shared" ref="AG38:AJ38" si="12">AG40</f>
        <v>369</v>
      </c>
      <c r="AH38" s="25">
        <f t="shared" si="12"/>
        <v>343</v>
      </c>
      <c r="AI38" s="25">
        <f t="shared" si="12"/>
        <v>323</v>
      </c>
      <c r="AJ38" s="25">
        <f t="shared" si="12"/>
        <v>303</v>
      </c>
      <c r="AK38" s="135" t="s">
        <v>219</v>
      </c>
      <c r="AL38" s="87"/>
      <c r="AM38" s="87"/>
      <c r="AN38" s="87"/>
    </row>
    <row r="39" spans="1:40" s="92" customFormat="1" ht="47.25" hidden="1" outlineLevel="1">
      <c r="A39" s="112"/>
      <c r="B39" s="113" t="s">
        <v>180</v>
      </c>
      <c r="C39" s="114" t="s">
        <v>72</v>
      </c>
      <c r="D39" s="116"/>
      <c r="E39" s="116"/>
      <c r="F39" s="116"/>
      <c r="G39" s="116"/>
      <c r="H39" s="116"/>
      <c r="I39" s="116"/>
      <c r="J39" s="116"/>
      <c r="K39" s="116"/>
      <c r="L39" s="116"/>
      <c r="M39" s="116"/>
      <c r="N39" s="116"/>
      <c r="O39" s="120"/>
      <c r="P39" s="116"/>
      <c r="Q39" s="116"/>
      <c r="R39" s="120"/>
      <c r="S39" s="116"/>
      <c r="T39" s="120"/>
      <c r="U39" s="116"/>
      <c r="V39" s="154"/>
      <c r="W39" s="120"/>
      <c r="X39" s="120"/>
      <c r="Y39" s="116"/>
      <c r="Z39" s="116"/>
      <c r="AA39" s="116">
        <v>6</v>
      </c>
      <c r="AB39" s="116">
        <v>6</v>
      </c>
      <c r="AC39" s="120"/>
      <c r="AD39" s="116">
        <v>6</v>
      </c>
      <c r="AE39" s="116">
        <v>6</v>
      </c>
      <c r="AF39" s="116">
        <v>10</v>
      </c>
      <c r="AG39" s="116">
        <f>AF39</f>
        <v>10</v>
      </c>
      <c r="AH39" s="116">
        <f t="shared" ref="AH39:AJ39" si="13">AG39</f>
        <v>10</v>
      </c>
      <c r="AI39" s="116">
        <f t="shared" si="13"/>
        <v>10</v>
      </c>
      <c r="AJ39" s="116">
        <f t="shared" si="13"/>
        <v>10</v>
      </c>
      <c r="AK39" s="155" t="s">
        <v>211</v>
      </c>
      <c r="AL39" s="123"/>
      <c r="AM39" s="123"/>
      <c r="AN39" s="123"/>
    </row>
    <row r="40" spans="1:40" s="92" customFormat="1" ht="51" hidden="1" outlineLevel="1">
      <c r="A40" s="112"/>
      <c r="B40" s="113" t="s">
        <v>181</v>
      </c>
      <c r="C40" s="114" t="s">
        <v>72</v>
      </c>
      <c r="D40" s="116"/>
      <c r="E40" s="116"/>
      <c r="F40" s="116"/>
      <c r="G40" s="116"/>
      <c r="H40" s="116"/>
      <c r="I40" s="116"/>
      <c r="J40" s="116"/>
      <c r="K40" s="116"/>
      <c r="L40" s="116"/>
      <c r="M40" s="116"/>
      <c r="N40" s="116"/>
      <c r="O40" s="120"/>
      <c r="P40" s="116"/>
      <c r="Q40" s="116"/>
      <c r="R40" s="120"/>
      <c r="S40" s="116"/>
      <c r="T40" s="120"/>
      <c r="U40" s="116"/>
      <c r="V40" s="154"/>
      <c r="W40" s="120"/>
      <c r="X40" s="120"/>
      <c r="Y40" s="116"/>
      <c r="Z40" s="116"/>
      <c r="AA40" s="116">
        <v>401</v>
      </c>
      <c r="AB40" s="116">
        <v>401</v>
      </c>
      <c r="AC40" s="120"/>
      <c r="AD40" s="116">
        <f>AB40-1</f>
        <v>400</v>
      </c>
      <c r="AE40" s="116">
        <f>AB40-7+2</f>
        <v>396</v>
      </c>
      <c r="AF40" s="116">
        <v>383</v>
      </c>
      <c r="AG40" s="156">
        <f>AF40+6-20</f>
        <v>369</v>
      </c>
      <c r="AH40" s="156">
        <f>AG40+1-27</f>
        <v>343</v>
      </c>
      <c r="AI40" s="156">
        <f>AH40-20</f>
        <v>323</v>
      </c>
      <c r="AJ40" s="156">
        <f>AI40-20</f>
        <v>303</v>
      </c>
      <c r="AK40" s="108" t="s">
        <v>198</v>
      </c>
      <c r="AL40" s="123"/>
      <c r="AM40" s="123"/>
      <c r="AN40" s="123"/>
    </row>
    <row r="41" spans="1:40" s="92" customFormat="1" ht="38.25" hidden="1" outlineLevel="1">
      <c r="A41" s="112"/>
      <c r="B41" s="113" t="s">
        <v>182</v>
      </c>
      <c r="C41" s="114" t="s">
        <v>72</v>
      </c>
      <c r="D41" s="116"/>
      <c r="E41" s="116"/>
      <c r="F41" s="116"/>
      <c r="G41" s="116"/>
      <c r="H41" s="116"/>
      <c r="I41" s="116"/>
      <c r="J41" s="116"/>
      <c r="K41" s="116"/>
      <c r="L41" s="116"/>
      <c r="M41" s="116"/>
      <c r="N41" s="116"/>
      <c r="O41" s="120"/>
      <c r="P41" s="116"/>
      <c r="Q41" s="116"/>
      <c r="R41" s="120"/>
      <c r="S41" s="116"/>
      <c r="T41" s="120"/>
      <c r="U41" s="116"/>
      <c r="V41" s="154"/>
      <c r="W41" s="120"/>
      <c r="X41" s="120"/>
      <c r="Y41" s="116"/>
      <c r="Z41" s="116"/>
      <c r="AA41" s="116">
        <v>827</v>
      </c>
      <c r="AB41" s="116">
        <v>827</v>
      </c>
      <c r="AC41" s="120"/>
      <c r="AD41" s="116">
        <v>827</v>
      </c>
      <c r="AE41" s="116">
        <f>827+50</f>
        <v>877</v>
      </c>
      <c r="AF41" s="116">
        <v>851</v>
      </c>
      <c r="AG41" s="116">
        <f>AG45/(AF45/AF41)</f>
        <v>890.73030093013836</v>
      </c>
      <c r="AH41" s="116">
        <f>(AG41-AF41)+AG41</f>
        <v>930.46060186027671</v>
      </c>
      <c r="AI41" s="116">
        <f t="shared" ref="AI41:AJ41" si="14">(AH41-AG41)+AH41</f>
        <v>970.19090279041507</v>
      </c>
      <c r="AJ41" s="116">
        <f t="shared" si="14"/>
        <v>1009.9212037205534</v>
      </c>
      <c r="AK41" s="108" t="s">
        <v>199</v>
      </c>
      <c r="AL41" s="123"/>
      <c r="AM41" s="123"/>
      <c r="AN41" s="123"/>
    </row>
    <row r="42" spans="1:40" ht="293.25" customHeight="1" collapsed="1">
      <c r="A42" s="82" t="s">
        <v>47</v>
      </c>
      <c r="B42" s="60" t="s">
        <v>158</v>
      </c>
      <c r="C42" s="6" t="s">
        <v>133</v>
      </c>
      <c r="D42" s="25"/>
      <c r="E42" s="25"/>
      <c r="F42" s="25"/>
      <c r="G42" s="28">
        <v>528.9</v>
      </c>
      <c r="H42" s="25"/>
      <c r="I42" s="25"/>
      <c r="J42" s="25"/>
      <c r="K42" s="25"/>
      <c r="L42" s="25"/>
      <c r="M42" s="25"/>
      <c r="N42" s="3">
        <v>560.05100000000004</v>
      </c>
      <c r="O42" s="3"/>
      <c r="P42" s="3"/>
      <c r="Q42" s="3"/>
      <c r="R42" s="3"/>
      <c r="S42" s="3"/>
      <c r="T42" s="3"/>
      <c r="U42" s="3"/>
      <c r="V42" s="3">
        <v>577.19749999999999</v>
      </c>
      <c r="W42" s="33" t="s">
        <v>89</v>
      </c>
      <c r="X42" s="33" t="s">
        <v>89</v>
      </c>
      <c r="Y42" s="3">
        <f>490.02+112.5326</f>
        <v>602.55259999999998</v>
      </c>
      <c r="Z42" s="3">
        <f>Y42+Z47-Y47</f>
        <v>615.41460000000006</v>
      </c>
      <c r="AA42" s="3">
        <v>611.1</v>
      </c>
      <c r="AB42" s="3">
        <f>SUM(AB43:AB45)/1000</f>
        <v>611.06722000000002</v>
      </c>
      <c r="AC42" s="33" t="s">
        <v>89</v>
      </c>
      <c r="AD42" s="29">
        <f t="shared" ref="AD42:AE42" si="15">SUM(AD43:AD45)/1000</f>
        <v>610.69871999999998</v>
      </c>
      <c r="AE42" s="28">
        <f t="shared" si="15"/>
        <v>626.9330799999999</v>
      </c>
      <c r="AF42" s="28">
        <f>SUM(AF43:AF45)/1000</f>
        <v>612.06739999999991</v>
      </c>
      <c r="AG42" s="3">
        <f t="shared" ref="AG42" si="16">SUM(AG43:AG45)/1000</f>
        <v>644.95752999999991</v>
      </c>
      <c r="AH42" s="3">
        <f t="shared" ref="AH42" si="17">SUM(AH43:AH45)/1000</f>
        <v>653.01252999999986</v>
      </c>
      <c r="AI42" s="3">
        <f t="shared" ref="AI42" si="18">SUM(AI43:AI45)/1000</f>
        <v>676.78592999999989</v>
      </c>
      <c r="AJ42" s="3">
        <f t="shared" ref="AJ42" si="19">SUM(AJ43:AJ45)/1000</f>
        <v>700.55932999999993</v>
      </c>
      <c r="AK42" s="111" t="s">
        <v>222</v>
      </c>
      <c r="AL42" s="87"/>
      <c r="AM42" s="87"/>
      <c r="AN42" s="87"/>
    </row>
    <row r="43" spans="1:40" s="92" customFormat="1" ht="25.5" hidden="1" outlineLevel="1">
      <c r="A43" s="97"/>
      <c r="B43" s="98" t="s">
        <v>180</v>
      </c>
      <c r="C43" s="99" t="s">
        <v>59</v>
      </c>
      <c r="D43" s="100"/>
      <c r="E43" s="100"/>
      <c r="F43" s="100"/>
      <c r="G43" s="101"/>
      <c r="H43" s="100"/>
      <c r="I43" s="100"/>
      <c r="J43" s="100"/>
      <c r="K43" s="100"/>
      <c r="L43" s="100"/>
      <c r="M43" s="100"/>
      <c r="N43" s="102"/>
      <c r="O43" s="102"/>
      <c r="P43" s="102"/>
      <c r="Q43" s="102"/>
      <c r="R43" s="102"/>
      <c r="S43" s="102"/>
      <c r="T43" s="102"/>
      <c r="U43" s="102"/>
      <c r="V43" s="102"/>
      <c r="W43" s="103"/>
      <c r="X43" s="103"/>
      <c r="Y43" s="102"/>
      <c r="Z43" s="102"/>
      <c r="AA43" s="104">
        <v>5063.12</v>
      </c>
      <c r="AB43" s="105">
        <v>5063.12</v>
      </c>
      <c r="AC43" s="105"/>
      <c r="AD43" s="106">
        <f>AB43</f>
        <v>5063.12</v>
      </c>
      <c r="AE43" s="107">
        <v>5063.12</v>
      </c>
      <c r="AF43" s="105">
        <v>5084.6000000000004</v>
      </c>
      <c r="AG43" s="107">
        <f>AF43</f>
        <v>5084.6000000000004</v>
      </c>
      <c r="AH43" s="107">
        <f t="shared" ref="AH43:AJ43" si="20">AG43</f>
        <v>5084.6000000000004</v>
      </c>
      <c r="AI43" s="107">
        <f t="shared" si="20"/>
        <v>5084.6000000000004</v>
      </c>
      <c r="AJ43" s="107">
        <f t="shared" si="20"/>
        <v>5084.6000000000004</v>
      </c>
      <c r="AK43" s="108" t="s">
        <v>220</v>
      </c>
      <c r="AL43" s="110"/>
      <c r="AM43" s="110"/>
      <c r="AN43" s="110"/>
    </row>
    <row r="44" spans="1:40" s="92" customFormat="1" ht="233.25" hidden="1" customHeight="1" outlineLevel="1">
      <c r="A44" s="97"/>
      <c r="B44" s="98" t="s">
        <v>181</v>
      </c>
      <c r="C44" s="99" t="s">
        <v>59</v>
      </c>
      <c r="D44" s="100"/>
      <c r="E44" s="100"/>
      <c r="F44" s="100"/>
      <c r="G44" s="101"/>
      <c r="H44" s="100"/>
      <c r="I44" s="100"/>
      <c r="J44" s="100"/>
      <c r="K44" s="100"/>
      <c r="L44" s="100"/>
      <c r="M44" s="100"/>
      <c r="N44" s="102"/>
      <c r="O44" s="102"/>
      <c r="P44" s="102"/>
      <c r="Q44" s="102"/>
      <c r="R44" s="102"/>
      <c r="S44" s="102"/>
      <c r="T44" s="102"/>
      <c r="U44" s="102"/>
      <c r="V44" s="102"/>
      <c r="W44" s="103"/>
      <c r="X44" s="103"/>
      <c r="Y44" s="102"/>
      <c r="Z44" s="102"/>
      <c r="AA44" s="104">
        <v>492182.1</v>
      </c>
      <c r="AB44" s="105">
        <v>492182.1</v>
      </c>
      <c r="AC44" s="105"/>
      <c r="AD44" s="106">
        <f>AB44-368.5</f>
        <v>491813.6</v>
      </c>
      <c r="AE44" s="107">
        <f>AB44+3591.1+5515.76-368.5-2872.5</f>
        <v>498047.95999999996</v>
      </c>
      <c r="AF44" s="107">
        <f>AB44+AF49</f>
        <v>489387.39999999997</v>
      </c>
      <c r="AG44" s="107">
        <f>AF44+AG49</f>
        <v>516787.39999999997</v>
      </c>
      <c r="AH44" s="107">
        <f t="shared" ref="AH44:AJ44" si="21">AG44+AH49</f>
        <v>514842.39999999997</v>
      </c>
      <c r="AI44" s="107">
        <f t="shared" si="21"/>
        <v>528615.79999999993</v>
      </c>
      <c r="AJ44" s="107">
        <f t="shared" si="21"/>
        <v>542389.19999999995</v>
      </c>
      <c r="AK44" s="108" t="s">
        <v>203</v>
      </c>
      <c r="AL44" s="109"/>
      <c r="AM44" s="110"/>
      <c r="AN44" s="110"/>
    </row>
    <row r="45" spans="1:40" s="92" customFormat="1" ht="89.25" hidden="1" outlineLevel="1">
      <c r="A45" s="97"/>
      <c r="B45" s="98" t="s">
        <v>182</v>
      </c>
      <c r="C45" s="99" t="s">
        <v>59</v>
      </c>
      <c r="D45" s="100"/>
      <c r="E45" s="100"/>
      <c r="F45" s="100"/>
      <c r="G45" s="101"/>
      <c r="H45" s="100"/>
      <c r="I45" s="100"/>
      <c r="J45" s="100"/>
      <c r="K45" s="100"/>
      <c r="L45" s="100"/>
      <c r="M45" s="100"/>
      <c r="N45" s="102"/>
      <c r="O45" s="102"/>
      <c r="P45" s="102"/>
      <c r="Q45" s="102"/>
      <c r="R45" s="102"/>
      <c r="S45" s="102"/>
      <c r="T45" s="102"/>
      <c r="U45" s="102"/>
      <c r="V45" s="102"/>
      <c r="W45" s="103"/>
      <c r="X45" s="103"/>
      <c r="Y45" s="102"/>
      <c r="Z45" s="102"/>
      <c r="AA45" s="104">
        <v>113822</v>
      </c>
      <c r="AB45" s="105">
        <v>113822</v>
      </c>
      <c r="AC45" s="105"/>
      <c r="AD45" s="106">
        <f>AB45</f>
        <v>113822</v>
      </c>
      <c r="AE45" s="107">
        <f>AB45+10000</f>
        <v>123822</v>
      </c>
      <c r="AF45" s="107">
        <f>AB45+AF50</f>
        <v>117595.4</v>
      </c>
      <c r="AG45" s="107">
        <f>AF45+AG50</f>
        <v>123085.53</v>
      </c>
      <c r="AH45" s="107">
        <f t="shared" ref="AH45:AJ45" si="22">AG45+AH50</f>
        <v>133085.53</v>
      </c>
      <c r="AI45" s="107">
        <f t="shared" si="22"/>
        <v>143085.53</v>
      </c>
      <c r="AJ45" s="107">
        <f t="shared" si="22"/>
        <v>153085.53</v>
      </c>
      <c r="AK45" s="108" t="s">
        <v>202</v>
      </c>
      <c r="AL45" s="110"/>
      <c r="AM45" s="110"/>
      <c r="AN45" s="110"/>
    </row>
    <row r="46" spans="1:40" ht="52.5" customHeight="1" collapsed="1">
      <c r="A46" s="82" t="s">
        <v>146</v>
      </c>
      <c r="B46" s="1" t="s">
        <v>132</v>
      </c>
      <c r="C46" s="6" t="s">
        <v>133</v>
      </c>
      <c r="D46" s="25"/>
      <c r="E46" s="25"/>
      <c r="F46" s="25"/>
      <c r="G46" s="25"/>
      <c r="H46" s="25"/>
      <c r="I46" s="25"/>
      <c r="J46" s="25"/>
      <c r="K46" s="25"/>
      <c r="L46" s="25"/>
      <c r="M46" s="25"/>
      <c r="N46" s="3">
        <v>74.8</v>
      </c>
      <c r="O46" s="3"/>
      <c r="P46" s="3"/>
      <c r="Q46" s="3"/>
      <c r="R46" s="3"/>
      <c r="S46" s="3"/>
      <c r="T46" s="3"/>
      <c r="U46" s="3"/>
      <c r="V46" s="3">
        <v>76.477999999999994</v>
      </c>
      <c r="W46" s="33" t="s">
        <v>89</v>
      </c>
      <c r="X46" s="33" t="s">
        <v>89</v>
      </c>
      <c r="Y46" s="3">
        <v>83</v>
      </c>
      <c r="Z46" s="3">
        <v>83</v>
      </c>
      <c r="AA46" s="3">
        <v>81.099999999999994</v>
      </c>
      <c r="AB46" s="3">
        <v>81.099999999999994</v>
      </c>
      <c r="AC46" s="33" t="s">
        <v>89</v>
      </c>
      <c r="AD46" s="29">
        <v>80.5</v>
      </c>
      <c r="AE46" s="3">
        <f>AB46-1.6576</f>
        <v>79.442399999999992</v>
      </c>
      <c r="AF46" s="3">
        <v>81.456999999999994</v>
      </c>
      <c r="AG46" s="3">
        <f>AF46*1.02</f>
        <v>83.08614</v>
      </c>
      <c r="AH46" s="3">
        <f>AG46*1.02</f>
        <v>84.747862800000007</v>
      </c>
      <c r="AI46" s="3">
        <f>AH46*1.02</f>
        <v>86.442820056000002</v>
      </c>
      <c r="AJ46" s="3">
        <f>AI46*1.02</f>
        <v>88.17167645712</v>
      </c>
      <c r="AK46" s="135" t="s">
        <v>223</v>
      </c>
      <c r="AL46" s="87"/>
      <c r="AM46" s="87"/>
      <c r="AN46" s="87"/>
    </row>
    <row r="47" spans="1:40" ht="284.25" customHeight="1">
      <c r="A47" s="82" t="s">
        <v>48</v>
      </c>
      <c r="B47" s="1" t="s">
        <v>134</v>
      </c>
      <c r="C47" s="6" t="s">
        <v>133</v>
      </c>
      <c r="D47" s="86"/>
      <c r="E47" s="25"/>
      <c r="F47" s="25"/>
      <c r="G47" s="25"/>
      <c r="H47" s="25"/>
      <c r="I47" s="25"/>
      <c r="J47" s="25"/>
      <c r="K47" s="25"/>
      <c r="L47" s="25"/>
      <c r="M47" s="25"/>
      <c r="N47" s="3">
        <f>(24425+21873)/1000</f>
        <v>46.298000000000002</v>
      </c>
      <c r="O47" s="3"/>
      <c r="P47" s="3"/>
      <c r="Q47" s="3"/>
      <c r="R47" s="3"/>
      <c r="S47" s="3"/>
      <c r="T47" s="3"/>
      <c r="U47" s="3"/>
      <c r="V47" s="3">
        <f>(V48+V49+V50)/1000</f>
        <v>15.271700000000001</v>
      </c>
      <c r="W47" s="29" t="s">
        <v>89</v>
      </c>
      <c r="X47" s="29" t="s">
        <v>89</v>
      </c>
      <c r="Y47" s="29">
        <v>1.3380000000000001</v>
      </c>
      <c r="Z47" s="29">
        <f>1.4+6.8+6</f>
        <v>14.2</v>
      </c>
      <c r="AA47" s="29">
        <v>14.176500000000001</v>
      </c>
      <c r="AB47" s="3">
        <f>(AB48+AB49+AB50)/1000</f>
        <v>9.611600000000001</v>
      </c>
      <c r="AC47" s="33" t="s">
        <v>89</v>
      </c>
      <c r="AD47" s="29">
        <f>AD49/1000</f>
        <v>-0.36849999999999999</v>
      </c>
      <c r="AE47" s="28">
        <f>(AE48+AE49+AE50)/1000</f>
        <v>15.865860000000001</v>
      </c>
      <c r="AF47" s="3">
        <f>(AF48+AF49+AF50)/1000</f>
        <v>0.97870000000000024</v>
      </c>
      <c r="AG47" s="3">
        <f t="shared" ref="AG47:AJ47" si="23">(AG48+AG49+AG50)/1000</f>
        <v>32.890129999999999</v>
      </c>
      <c r="AH47" s="3">
        <f t="shared" si="23"/>
        <v>8.0549999999999997</v>
      </c>
      <c r="AI47" s="3">
        <f t="shared" si="23"/>
        <v>23.773400000000002</v>
      </c>
      <c r="AJ47" s="3">
        <f t="shared" si="23"/>
        <v>23.773400000000002</v>
      </c>
      <c r="AK47" s="157" t="s">
        <v>221</v>
      </c>
      <c r="AL47" s="87"/>
      <c r="AM47" s="87"/>
      <c r="AN47" s="87"/>
    </row>
    <row r="48" spans="1:40" s="92" customFormat="1" hidden="1" outlineLevel="1">
      <c r="A48" s="112"/>
      <c r="B48" s="113" t="s">
        <v>180</v>
      </c>
      <c r="C48" s="114" t="s">
        <v>59</v>
      </c>
      <c r="D48" s="115"/>
      <c r="E48" s="116"/>
      <c r="F48" s="116"/>
      <c r="G48" s="116"/>
      <c r="H48" s="116"/>
      <c r="I48" s="116"/>
      <c r="J48" s="116"/>
      <c r="K48" s="116"/>
      <c r="L48" s="116"/>
      <c r="M48" s="116"/>
      <c r="N48" s="117"/>
      <c r="O48" s="117"/>
      <c r="P48" s="117"/>
      <c r="Q48" s="117"/>
      <c r="R48" s="117"/>
      <c r="S48" s="117"/>
      <c r="T48" s="117"/>
      <c r="U48" s="117"/>
      <c r="V48" s="117">
        <v>0</v>
      </c>
      <c r="W48" s="118"/>
      <c r="X48" s="118"/>
      <c r="Y48" s="118"/>
      <c r="Z48" s="118"/>
      <c r="AA48" s="118">
        <f>5063.12-2298.8</f>
        <v>2764.3199999999997</v>
      </c>
      <c r="AB48" s="118">
        <v>0</v>
      </c>
      <c r="AC48" s="120"/>
      <c r="AD48" s="118">
        <v>0</v>
      </c>
      <c r="AE48" s="118">
        <v>0</v>
      </c>
      <c r="AF48" s="118">
        <v>0</v>
      </c>
      <c r="AG48" s="117">
        <v>0</v>
      </c>
      <c r="AH48" s="117">
        <v>0</v>
      </c>
      <c r="AI48" s="117">
        <v>0</v>
      </c>
      <c r="AJ48" s="117">
        <v>0</v>
      </c>
      <c r="AK48" s="108" t="s">
        <v>183</v>
      </c>
      <c r="AL48" s="123"/>
      <c r="AM48" s="123"/>
      <c r="AN48" s="123"/>
    </row>
    <row r="49" spans="1:40" s="92" customFormat="1" ht="207.75" hidden="1" customHeight="1" outlineLevel="1">
      <c r="A49" s="112"/>
      <c r="B49" s="113" t="s">
        <v>181</v>
      </c>
      <c r="C49" s="114" t="s">
        <v>59</v>
      </c>
      <c r="D49" s="115"/>
      <c r="E49" s="116"/>
      <c r="F49" s="116"/>
      <c r="G49" s="116"/>
      <c r="H49" s="116"/>
      <c r="I49" s="116"/>
      <c r="J49" s="116"/>
      <c r="K49" s="116"/>
      <c r="L49" s="116"/>
      <c r="M49" s="116"/>
      <c r="N49" s="117"/>
      <c r="O49" s="117"/>
      <c r="P49" s="117"/>
      <c r="Q49" s="117"/>
      <c r="R49" s="117"/>
      <c r="S49" s="117"/>
      <c r="T49" s="117"/>
      <c r="U49" s="117"/>
      <c r="V49" s="117">
        <f>15210.7-6198</f>
        <v>9012.7000000000007</v>
      </c>
      <c r="W49" s="118"/>
      <c r="X49" s="118"/>
      <c r="Y49" s="118"/>
      <c r="Z49" s="118"/>
      <c r="AA49" s="119">
        <f>6383.7+1354.8-4564.9</f>
        <v>3173.6000000000004</v>
      </c>
      <c r="AB49" s="119">
        <f>6383.7+1354.8-4564.9</f>
        <v>3173.6000000000004</v>
      </c>
      <c r="AC49" s="120"/>
      <c r="AD49" s="118">
        <f>-368.5</f>
        <v>-368.5</v>
      </c>
      <c r="AE49" s="121">
        <f>3591.1+5515.76-2872.5-368.5</f>
        <v>5865.8600000000006</v>
      </c>
      <c r="AF49" s="121">
        <f>5122.2-7916.9</f>
        <v>-2794.7</v>
      </c>
      <c r="AG49" s="122">
        <f>34800-7400</f>
        <v>27400</v>
      </c>
      <c r="AH49" s="122">
        <f>2555-4500</f>
        <v>-1945</v>
      </c>
      <c r="AI49" s="122">
        <f>20000-6226.6</f>
        <v>13773.4</v>
      </c>
      <c r="AJ49" s="122">
        <f>20000-6226.6</f>
        <v>13773.4</v>
      </c>
      <c r="AK49" s="108" t="s">
        <v>200</v>
      </c>
      <c r="AL49" s="123"/>
      <c r="AM49" s="123"/>
      <c r="AN49" s="123"/>
    </row>
    <row r="50" spans="1:40" s="92" customFormat="1" ht="76.5" hidden="1" outlineLevel="1">
      <c r="A50" s="112"/>
      <c r="B50" s="113" t="s">
        <v>182</v>
      </c>
      <c r="C50" s="114" t="s">
        <v>59</v>
      </c>
      <c r="D50" s="115"/>
      <c r="E50" s="116"/>
      <c r="F50" s="116"/>
      <c r="G50" s="116"/>
      <c r="H50" s="116"/>
      <c r="I50" s="116"/>
      <c r="J50" s="116"/>
      <c r="K50" s="116"/>
      <c r="L50" s="116"/>
      <c r="M50" s="116"/>
      <c r="N50" s="117"/>
      <c r="O50" s="117"/>
      <c r="P50" s="117"/>
      <c r="Q50" s="117"/>
      <c r="R50" s="117"/>
      <c r="S50" s="117"/>
      <c r="T50" s="117"/>
      <c r="U50" s="117"/>
      <c r="V50" s="117">
        <v>6259</v>
      </c>
      <c r="W50" s="118"/>
      <c r="X50" s="118"/>
      <c r="Y50" s="118"/>
      <c r="Z50" s="118"/>
      <c r="AA50" s="119">
        <v>6438</v>
      </c>
      <c r="AB50" s="119">
        <v>6438</v>
      </c>
      <c r="AC50" s="120"/>
      <c r="AD50" s="118" t="s">
        <v>173</v>
      </c>
      <c r="AE50" s="121">
        <v>10000</v>
      </c>
      <c r="AF50" s="121">
        <v>3773.4</v>
      </c>
      <c r="AG50" s="122">
        <v>5490.13</v>
      </c>
      <c r="AH50" s="122">
        <v>10000</v>
      </c>
      <c r="AI50" s="122">
        <v>10000</v>
      </c>
      <c r="AJ50" s="122">
        <v>10000</v>
      </c>
      <c r="AK50" s="108" t="s">
        <v>201</v>
      </c>
      <c r="AL50" s="123"/>
      <c r="AM50" s="123"/>
      <c r="AN50" s="123"/>
    </row>
    <row r="51" spans="1:40" ht="90" collapsed="1">
      <c r="A51" s="82" t="s">
        <v>49</v>
      </c>
      <c r="B51" s="1" t="s">
        <v>135</v>
      </c>
      <c r="C51" s="6" t="s">
        <v>156</v>
      </c>
      <c r="D51" s="25"/>
      <c r="E51" s="25"/>
      <c r="F51" s="25"/>
      <c r="G51" s="25"/>
      <c r="H51" s="25"/>
      <c r="I51" s="25"/>
      <c r="J51" s="25"/>
      <c r="K51" s="25"/>
      <c r="L51" s="25"/>
      <c r="M51" s="25"/>
      <c r="N51" s="63">
        <v>152</v>
      </c>
      <c r="O51" s="25"/>
      <c r="P51" s="66"/>
      <c r="Q51" s="25"/>
      <c r="R51" s="25"/>
      <c r="S51" s="25"/>
      <c r="T51" s="25"/>
      <c r="U51" s="25"/>
      <c r="V51" s="63">
        <v>162</v>
      </c>
      <c r="W51" s="33" t="s">
        <v>89</v>
      </c>
      <c r="X51" s="33" t="s">
        <v>89</v>
      </c>
      <c r="Y51" s="59">
        <v>59</v>
      </c>
      <c r="Z51" s="74">
        <f>Y51+10</f>
        <v>69</v>
      </c>
      <c r="AA51" s="63">
        <f>46+68</f>
        <v>114</v>
      </c>
      <c r="AB51" s="63">
        <f t="shared" ref="AB51" si="24">AA51</f>
        <v>114</v>
      </c>
      <c r="AC51" s="33" t="s">
        <v>89</v>
      </c>
      <c r="AD51" s="59">
        <f>2+129</f>
        <v>131</v>
      </c>
      <c r="AE51" s="74">
        <v>138</v>
      </c>
      <c r="AF51" s="77">
        <f>3+134</f>
        <v>137</v>
      </c>
      <c r="AG51" s="25"/>
      <c r="AH51" s="25"/>
      <c r="AI51" s="25"/>
      <c r="AJ51" s="25"/>
      <c r="AK51" s="111" t="s">
        <v>210</v>
      </c>
      <c r="AL51" s="87"/>
      <c r="AM51" s="87"/>
      <c r="AN51" s="87"/>
    </row>
    <row r="52" spans="1:40" ht="114.75">
      <c r="A52" s="82" t="s">
        <v>50</v>
      </c>
      <c r="B52" s="1" t="s">
        <v>137</v>
      </c>
      <c r="C52" s="6" t="s">
        <v>156</v>
      </c>
      <c r="D52" s="25"/>
      <c r="E52" s="25"/>
      <c r="F52" s="25"/>
      <c r="G52" s="25"/>
      <c r="H52" s="25"/>
      <c r="I52" s="25"/>
      <c r="J52" s="25"/>
      <c r="K52" s="25"/>
      <c r="L52" s="25"/>
      <c r="M52" s="25"/>
      <c r="N52" s="63">
        <v>1793</v>
      </c>
      <c r="O52" s="25"/>
      <c r="P52" s="66"/>
      <c r="Q52" s="25"/>
      <c r="R52" s="25"/>
      <c r="S52" s="25"/>
      <c r="T52" s="25"/>
      <c r="U52" s="25"/>
      <c r="V52" s="63">
        <v>1583</v>
      </c>
      <c r="W52" s="33" t="s">
        <v>89</v>
      </c>
      <c r="X52" s="33" t="s">
        <v>89</v>
      </c>
      <c r="Y52" s="59">
        <f>V52+59-212</f>
        <v>1430</v>
      </c>
      <c r="Z52" s="74">
        <f>Y52+10-70</f>
        <v>1370</v>
      </c>
      <c r="AA52" s="63">
        <f>1332+809</f>
        <v>2141</v>
      </c>
      <c r="AB52" s="63">
        <f>1332+809</f>
        <v>2141</v>
      </c>
      <c r="AC52" s="33" t="s">
        <v>89</v>
      </c>
      <c r="AD52" s="59">
        <f>1150+941</f>
        <v>2091</v>
      </c>
      <c r="AE52" s="59">
        <f>1150+941+3</f>
        <v>2094</v>
      </c>
      <c r="AF52" s="63">
        <f>1128+956</f>
        <v>2084</v>
      </c>
      <c r="AG52" s="25"/>
      <c r="AH52" s="25"/>
      <c r="AI52" s="25"/>
      <c r="AJ52" s="25"/>
      <c r="AK52" s="135" t="s">
        <v>209</v>
      </c>
      <c r="AL52" s="87"/>
      <c r="AM52" s="87"/>
      <c r="AN52" s="87"/>
    </row>
    <row r="53" spans="1:40" ht="207.75" customHeight="1">
      <c r="A53" s="82" t="s">
        <v>136</v>
      </c>
      <c r="B53" s="1" t="s">
        <v>58</v>
      </c>
      <c r="C53" s="6" t="s">
        <v>59</v>
      </c>
      <c r="D53" s="25"/>
      <c r="E53" s="25"/>
      <c r="F53" s="25"/>
      <c r="G53" s="25"/>
      <c r="H53" s="25"/>
      <c r="I53" s="25"/>
      <c r="J53" s="25"/>
      <c r="K53" s="25"/>
      <c r="L53" s="25"/>
      <c r="M53" s="25"/>
      <c r="N53" s="3">
        <v>23.4</v>
      </c>
      <c r="O53" s="3">
        <f t="shared" ref="O53:AJ53" si="25">O42/O10</f>
        <v>0</v>
      </c>
      <c r="P53" s="3">
        <f t="shared" si="25"/>
        <v>0</v>
      </c>
      <c r="Q53" s="3">
        <f t="shared" si="25"/>
        <v>0</v>
      </c>
      <c r="R53" s="3">
        <f t="shared" si="25"/>
        <v>0</v>
      </c>
      <c r="S53" s="3">
        <f t="shared" si="25"/>
        <v>0</v>
      </c>
      <c r="T53" s="3">
        <f t="shared" si="25"/>
        <v>0</v>
      </c>
      <c r="U53" s="3">
        <f t="shared" si="25"/>
        <v>0</v>
      </c>
      <c r="V53" s="3">
        <f t="shared" si="25"/>
        <v>23.814725419812685</v>
      </c>
      <c r="W53" s="33" t="s">
        <v>89</v>
      </c>
      <c r="X53" s="33" t="s">
        <v>89</v>
      </c>
      <c r="Y53" s="3">
        <f t="shared" si="25"/>
        <v>24.290599048617267</v>
      </c>
      <c r="Z53" s="3">
        <f t="shared" si="25"/>
        <v>24.809102636458924</v>
      </c>
      <c r="AA53" s="3">
        <f t="shared" si="25"/>
        <v>24.846513519007932</v>
      </c>
      <c r="AB53" s="3">
        <f t="shared" si="25"/>
        <v>24.845180727790204</v>
      </c>
      <c r="AC53" s="33" t="s">
        <v>89</v>
      </c>
      <c r="AD53" s="3">
        <f t="shared" si="25"/>
        <v>24.830198007725148</v>
      </c>
      <c r="AE53" s="3">
        <f t="shared" si="25"/>
        <v>25.215504162812209</v>
      </c>
      <c r="AF53" s="3">
        <f t="shared" si="25"/>
        <v>24.765017196034794</v>
      </c>
      <c r="AG53" s="3">
        <f t="shared" si="25"/>
        <v>25.533771329031232</v>
      </c>
      <c r="AH53" s="3">
        <f t="shared" si="25"/>
        <v>25.498341663412724</v>
      </c>
      <c r="AI53" s="3">
        <f t="shared" si="25"/>
        <v>26.094460595311531</v>
      </c>
      <c r="AJ53" s="3">
        <f t="shared" si="25"/>
        <v>26.675779833980652</v>
      </c>
      <c r="AK53" s="135" t="s">
        <v>224</v>
      </c>
      <c r="AL53" s="87"/>
      <c r="AM53" s="87"/>
      <c r="AN53" s="87"/>
    </row>
    <row r="54" spans="1:40" ht="28.5">
      <c r="A54" s="85" t="s">
        <v>51</v>
      </c>
      <c r="B54" s="50" t="s">
        <v>138</v>
      </c>
      <c r="C54" s="6"/>
      <c r="D54" s="25"/>
      <c r="E54" s="25"/>
      <c r="F54" s="25"/>
      <c r="G54" s="25"/>
      <c r="H54" s="25"/>
      <c r="I54" s="25"/>
      <c r="J54" s="25"/>
      <c r="K54" s="25"/>
      <c r="L54" s="25"/>
      <c r="M54" s="25"/>
      <c r="N54" s="25"/>
      <c r="O54" s="25"/>
      <c r="P54" s="66"/>
      <c r="Q54" s="25"/>
      <c r="R54" s="25"/>
      <c r="S54" s="25"/>
      <c r="T54" s="25"/>
      <c r="U54" s="25"/>
      <c r="V54" s="25"/>
      <c r="W54" s="25"/>
      <c r="X54" s="59"/>
      <c r="Y54" s="59"/>
      <c r="Z54" s="59"/>
      <c r="AA54" s="59"/>
      <c r="AB54" s="59"/>
      <c r="AC54" s="59"/>
      <c r="AD54" s="59"/>
      <c r="AE54" s="59"/>
      <c r="AF54" s="59"/>
      <c r="AG54" s="25"/>
      <c r="AH54" s="25"/>
      <c r="AI54" s="25"/>
      <c r="AJ54" s="25"/>
      <c r="AK54" s="135"/>
      <c r="AL54" s="87"/>
      <c r="AM54" s="87"/>
      <c r="AN54" s="87"/>
    </row>
    <row r="55" spans="1:40" ht="62.25" customHeight="1">
      <c r="A55" s="178" t="s">
        <v>53</v>
      </c>
      <c r="B55" s="1" t="s">
        <v>139</v>
      </c>
      <c r="C55" s="6" t="s">
        <v>145</v>
      </c>
      <c r="D55" s="25"/>
      <c r="E55" s="25"/>
      <c r="F55" s="25"/>
      <c r="G55" s="25"/>
      <c r="H55" s="25"/>
      <c r="I55" s="25"/>
      <c r="J55" s="25"/>
      <c r="K55" s="25"/>
      <c r="L55" s="25"/>
      <c r="M55" s="25"/>
      <c r="N55" s="57">
        <f>N56+N57</f>
        <v>3040724.8</v>
      </c>
      <c r="O55" s="57">
        <f t="shared" ref="O55:AE55" si="26">O56+O57</f>
        <v>0</v>
      </c>
      <c r="P55" s="57">
        <f t="shared" si="26"/>
        <v>0</v>
      </c>
      <c r="Q55" s="57">
        <f t="shared" si="26"/>
        <v>0</v>
      </c>
      <c r="R55" s="57">
        <f t="shared" si="26"/>
        <v>0</v>
      </c>
      <c r="S55" s="57">
        <f t="shared" si="26"/>
        <v>0</v>
      </c>
      <c r="T55" s="57">
        <f t="shared" si="26"/>
        <v>0</v>
      </c>
      <c r="U55" s="57">
        <f t="shared" si="26"/>
        <v>0</v>
      </c>
      <c r="V55" s="57">
        <f t="shared" si="26"/>
        <v>2561620</v>
      </c>
      <c r="W55" s="33" t="s">
        <v>89</v>
      </c>
      <c r="X55" s="33" t="s">
        <v>89</v>
      </c>
      <c r="Y55" s="57">
        <f t="shared" si="26"/>
        <v>478169.5</v>
      </c>
      <c r="Z55" s="57">
        <f t="shared" si="26"/>
        <v>668022.5</v>
      </c>
      <c r="AA55" s="57">
        <f t="shared" si="26"/>
        <v>680298.5</v>
      </c>
      <c r="AB55" s="79">
        <v>676101</v>
      </c>
      <c r="AC55" s="31" t="s">
        <v>89</v>
      </c>
      <c r="AD55" s="57">
        <f t="shared" si="26"/>
        <v>490163.60000000003</v>
      </c>
      <c r="AE55" s="57">
        <f t="shared" si="26"/>
        <v>830544.1</v>
      </c>
      <c r="AF55" s="79">
        <v>812028</v>
      </c>
      <c r="AG55" s="79">
        <v>753951</v>
      </c>
      <c r="AH55" s="79">
        <v>738436</v>
      </c>
      <c r="AI55" s="79">
        <v>745715</v>
      </c>
      <c r="AJ55" s="57">
        <f>AJ56+AJ57</f>
        <v>750642.80999999994</v>
      </c>
      <c r="AK55" s="172" t="s">
        <v>208</v>
      </c>
      <c r="AL55" s="87"/>
      <c r="AM55" s="87"/>
      <c r="AN55" s="87"/>
    </row>
    <row r="56" spans="1:40" ht="75.75" customHeight="1">
      <c r="A56" s="181"/>
      <c r="B56" s="1" t="s">
        <v>140</v>
      </c>
      <c r="C56" s="6" t="s">
        <v>145</v>
      </c>
      <c r="D56" s="25"/>
      <c r="E56" s="25"/>
      <c r="F56" s="25"/>
      <c r="G56" s="25"/>
      <c r="H56" s="25"/>
      <c r="I56" s="25"/>
      <c r="J56" s="25"/>
      <c r="K56" s="25"/>
      <c r="L56" s="25"/>
      <c r="M56" s="25"/>
      <c r="N56" s="57">
        <v>638507.30000000005</v>
      </c>
      <c r="O56" s="81"/>
      <c r="P56" s="81"/>
      <c r="Q56" s="81"/>
      <c r="R56" s="81"/>
      <c r="S56" s="81"/>
      <c r="T56" s="81"/>
      <c r="U56" s="81"/>
      <c r="V56" s="57">
        <v>667658</v>
      </c>
      <c r="W56" s="33" t="s">
        <v>89</v>
      </c>
      <c r="X56" s="33" t="s">
        <v>89</v>
      </c>
      <c r="Y56" s="80">
        <v>457550.5</v>
      </c>
      <c r="Z56" s="57">
        <v>628545</v>
      </c>
      <c r="AA56" s="78">
        <v>635067.80000000005</v>
      </c>
      <c r="AB56" s="10">
        <f t="shared" ref="AB56:AB63" si="27">AA56</f>
        <v>635067.80000000005</v>
      </c>
      <c r="AC56" s="31" t="s">
        <v>89</v>
      </c>
      <c r="AD56" s="31">
        <v>414268.9</v>
      </c>
      <c r="AE56" s="57">
        <v>586392</v>
      </c>
      <c r="AF56" s="79">
        <v>588485</v>
      </c>
      <c r="AG56" s="79">
        <v>604156</v>
      </c>
      <c r="AH56" s="79">
        <v>610557</v>
      </c>
      <c r="AI56" s="79">
        <v>619248</v>
      </c>
      <c r="AJ56" s="81">
        <f>AI56*1.01</f>
        <v>625440.48</v>
      </c>
      <c r="AK56" s="177"/>
      <c r="AL56" s="87"/>
      <c r="AM56" s="87"/>
      <c r="AN56" s="87"/>
    </row>
    <row r="57" spans="1:40" ht="45" customHeight="1">
      <c r="A57" s="182"/>
      <c r="B57" s="1" t="s">
        <v>141</v>
      </c>
      <c r="C57" s="6" t="s">
        <v>145</v>
      </c>
      <c r="D57" s="25"/>
      <c r="E57" s="25"/>
      <c r="F57" s="25"/>
      <c r="G57" s="25"/>
      <c r="H57" s="25"/>
      <c r="I57" s="25"/>
      <c r="J57" s="25"/>
      <c r="K57" s="25"/>
      <c r="L57" s="25"/>
      <c r="M57" s="25"/>
      <c r="N57" s="81">
        <v>2402217.5</v>
      </c>
      <c r="O57" s="81"/>
      <c r="P57" s="81"/>
      <c r="Q57" s="81"/>
      <c r="R57" s="81"/>
      <c r="S57" s="81"/>
      <c r="T57" s="81"/>
      <c r="U57" s="81"/>
      <c r="V57" s="81">
        <v>1893962</v>
      </c>
      <c r="W57" s="33" t="s">
        <v>89</v>
      </c>
      <c r="X57" s="33" t="s">
        <v>89</v>
      </c>
      <c r="Y57" s="80">
        <v>20619</v>
      </c>
      <c r="Z57" s="80">
        <f>Y57+(23000-4577)+(1310.9-1075.4)+200</f>
        <v>39477.5</v>
      </c>
      <c r="AA57" s="80">
        <v>45230.7</v>
      </c>
      <c r="AB57" s="10">
        <f>AB55-AB56</f>
        <v>41033.199999999953</v>
      </c>
      <c r="AC57" s="31" t="s">
        <v>89</v>
      </c>
      <c r="AD57" s="31">
        <v>75894.7</v>
      </c>
      <c r="AE57" s="80">
        <f>248435.4-4283.3</f>
        <v>244152.1</v>
      </c>
      <c r="AF57" s="10">
        <f t="shared" ref="AF57:AI57" si="28">AF55-AF56</f>
        <v>223543</v>
      </c>
      <c r="AG57" s="10">
        <f t="shared" si="28"/>
        <v>149795</v>
      </c>
      <c r="AH57" s="10">
        <f t="shared" si="28"/>
        <v>127879</v>
      </c>
      <c r="AI57" s="10">
        <f t="shared" si="28"/>
        <v>126467</v>
      </c>
      <c r="AJ57" s="81">
        <f>AI57*0.99</f>
        <v>125202.33</v>
      </c>
      <c r="AK57" s="173"/>
      <c r="AL57" s="87"/>
      <c r="AM57" s="87"/>
      <c r="AN57" s="87"/>
    </row>
    <row r="58" spans="1:40" ht="115.5" customHeight="1">
      <c r="A58" s="82" t="s">
        <v>56</v>
      </c>
      <c r="B58" s="1" t="s">
        <v>142</v>
      </c>
      <c r="C58" s="6" t="s">
        <v>145</v>
      </c>
      <c r="D58" s="25"/>
      <c r="E58" s="25"/>
      <c r="F58" s="25"/>
      <c r="G58" s="25"/>
      <c r="H58" s="25"/>
      <c r="I58" s="25"/>
      <c r="J58" s="25"/>
      <c r="K58" s="25"/>
      <c r="L58" s="25"/>
      <c r="M58" s="25"/>
      <c r="N58" s="81">
        <f t="shared" ref="N58:V58" si="29">N59/N10/1000</f>
        <v>7.9050354532009299</v>
      </c>
      <c r="O58" s="81">
        <f t="shared" si="29"/>
        <v>0</v>
      </c>
      <c r="P58" s="81">
        <f t="shared" si="29"/>
        <v>0</v>
      </c>
      <c r="Q58" s="81">
        <f t="shared" si="29"/>
        <v>0</v>
      </c>
      <c r="R58" s="81">
        <f t="shared" si="29"/>
        <v>0</v>
      </c>
      <c r="S58" s="81">
        <f t="shared" si="29"/>
        <v>0</v>
      </c>
      <c r="T58" s="81">
        <f t="shared" si="29"/>
        <v>0</v>
      </c>
      <c r="U58" s="81">
        <f t="shared" si="29"/>
        <v>0</v>
      </c>
      <c r="V58" s="81">
        <f t="shared" si="29"/>
        <v>7.9670300367207174</v>
      </c>
      <c r="W58" s="31" t="s">
        <v>89</v>
      </c>
      <c r="X58" s="31" t="s">
        <v>89</v>
      </c>
      <c r="Y58" s="81">
        <f>Y59/Y10/1000</f>
        <v>5.4761360961057806</v>
      </c>
      <c r="Z58" s="81">
        <f>Z59/Z10/1000</f>
        <v>7.7686156575022167</v>
      </c>
      <c r="AA58" s="81">
        <f t="shared" ref="AA58:AE58" si="30">AA59/AA10/1000</f>
        <v>6.6424857897946739</v>
      </c>
      <c r="AB58" s="3">
        <f t="shared" si="27"/>
        <v>6.6424857897946739</v>
      </c>
      <c r="AC58" s="33" t="s">
        <v>89</v>
      </c>
      <c r="AD58" s="81">
        <f t="shared" si="30"/>
        <v>5.5473051839804839</v>
      </c>
      <c r="AE58" s="81">
        <f t="shared" si="30"/>
        <v>7.3756051160358771</v>
      </c>
      <c r="AF58" s="81">
        <f>AF59/AF10/1000</f>
        <v>7.2057259154359699</v>
      </c>
      <c r="AG58" s="81">
        <f>AG59/AG10/1000</f>
        <v>7.8591350409754934</v>
      </c>
      <c r="AH58" s="81">
        <f>AH59/AH10/1000</f>
        <v>7.7827213978914491</v>
      </c>
      <c r="AI58" s="81">
        <f>AI59/AI10/1000</f>
        <v>7.6889032618753852</v>
      </c>
      <c r="AJ58" s="81">
        <f>AJ59/AJ10/1000</f>
        <v>7.5972658213388158</v>
      </c>
      <c r="AK58" s="172" t="s">
        <v>207</v>
      </c>
      <c r="AL58" s="87"/>
      <c r="AM58" s="87"/>
      <c r="AN58" s="87"/>
    </row>
    <row r="59" spans="1:40" ht="92.25" hidden="1" customHeight="1" outlineLevel="1">
      <c r="A59" s="82"/>
      <c r="B59" s="1" t="s">
        <v>143</v>
      </c>
      <c r="C59" s="6" t="s">
        <v>145</v>
      </c>
      <c r="D59" s="25"/>
      <c r="E59" s="25"/>
      <c r="F59" s="25"/>
      <c r="G59" s="25"/>
      <c r="H59" s="25"/>
      <c r="I59" s="25"/>
      <c r="J59" s="25"/>
      <c r="K59" s="25"/>
      <c r="L59" s="25"/>
      <c r="M59" s="25"/>
      <c r="N59" s="57">
        <v>187072.66399999999</v>
      </c>
      <c r="O59" s="81"/>
      <c r="P59" s="81"/>
      <c r="Q59" s="81"/>
      <c r="R59" s="81"/>
      <c r="S59" s="81"/>
      <c r="T59" s="81"/>
      <c r="U59" s="81"/>
      <c r="V59" s="57">
        <v>193096.90700000001</v>
      </c>
      <c r="W59" s="31" t="s">
        <v>89</v>
      </c>
      <c r="X59" s="31" t="s">
        <v>89</v>
      </c>
      <c r="Y59" s="80">
        <v>135841.03200000001</v>
      </c>
      <c r="Z59" s="57">
        <v>192708.28</v>
      </c>
      <c r="AA59" s="57">
        <v>163371.93799999999</v>
      </c>
      <c r="AB59" s="10">
        <f t="shared" si="27"/>
        <v>163371.93799999999</v>
      </c>
      <c r="AC59" s="31" t="s">
        <v>89</v>
      </c>
      <c r="AD59" s="31">
        <v>136435.97099999999</v>
      </c>
      <c r="AE59" s="57">
        <v>183379.67</v>
      </c>
      <c r="AF59" s="158">
        <v>178089.516</v>
      </c>
      <c r="AG59" s="158">
        <v>198513.89199999999</v>
      </c>
      <c r="AH59" s="158">
        <v>199315.495</v>
      </c>
      <c r="AI59" s="158">
        <v>199419.39499999999</v>
      </c>
      <c r="AJ59" s="81">
        <f>AI59+100</f>
        <v>199519.39499999999</v>
      </c>
      <c r="AK59" s="173"/>
      <c r="AL59" s="87"/>
      <c r="AM59" s="87"/>
      <c r="AN59" s="87"/>
    </row>
    <row r="60" spans="1:40" collapsed="1">
      <c r="A60" s="82" t="s">
        <v>144</v>
      </c>
      <c r="B60" s="50" t="s">
        <v>52</v>
      </c>
      <c r="C60" s="6"/>
      <c r="D60" s="59"/>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144"/>
      <c r="AL60" s="87"/>
      <c r="AM60" s="87"/>
      <c r="AN60" s="87"/>
    </row>
    <row r="61" spans="1:40" ht="30">
      <c r="A61" s="82" t="s">
        <v>150</v>
      </c>
      <c r="B61" s="1" t="s">
        <v>54</v>
      </c>
      <c r="C61" s="6" t="s">
        <v>55</v>
      </c>
      <c r="D61" s="8">
        <f>42.6572*100</f>
        <v>4265.72</v>
      </c>
      <c r="E61" s="8">
        <f>42.6572*100</f>
        <v>4265.72</v>
      </c>
      <c r="F61" s="8">
        <f t="shared" ref="F61:J61" si="31">42.6572*100</f>
        <v>4265.72</v>
      </c>
      <c r="G61" s="8">
        <f t="shared" si="31"/>
        <v>4265.72</v>
      </c>
      <c r="H61" s="8">
        <v>4265.7</v>
      </c>
      <c r="I61" s="8">
        <v>4265.7</v>
      </c>
      <c r="J61" s="8">
        <f t="shared" si="31"/>
        <v>4265.72</v>
      </c>
      <c r="K61" s="8">
        <v>4498</v>
      </c>
      <c r="L61" s="8">
        <v>4498</v>
      </c>
      <c r="M61" s="8">
        <v>4498</v>
      </c>
      <c r="N61" s="57">
        <v>4497.6454999999996</v>
      </c>
      <c r="O61" s="57">
        <v>4498</v>
      </c>
      <c r="P61" s="57">
        <f>K61</f>
        <v>4498</v>
      </c>
      <c r="Q61" s="57">
        <v>4498</v>
      </c>
      <c r="R61" s="57">
        <v>4498</v>
      </c>
      <c r="S61" s="57">
        <v>4498</v>
      </c>
      <c r="T61" s="57">
        <v>4498</v>
      </c>
      <c r="U61" s="57">
        <v>4498</v>
      </c>
      <c r="V61" s="57">
        <v>4497.6454999999996</v>
      </c>
      <c r="W61" s="57">
        <f>4497.6455+15.1842</f>
        <v>4512.8296999999993</v>
      </c>
      <c r="X61" s="57">
        <f>4497.6455+15.1842</f>
        <v>4512.8296999999993</v>
      </c>
      <c r="Y61" s="57">
        <f t="shared" ref="Y61:Z61" si="32">4497.6455+15.1842</f>
        <v>4512.8296999999993</v>
      </c>
      <c r="Z61" s="57">
        <f t="shared" si="32"/>
        <v>4512.8296999999993</v>
      </c>
      <c r="AA61" s="89">
        <f>(44.976455+0.151842)*100</f>
        <v>4512.8297000000002</v>
      </c>
      <c r="AB61" s="3">
        <f t="shared" si="27"/>
        <v>4512.8297000000002</v>
      </c>
      <c r="AC61" s="76">
        <f>(44.976455+0.151842)*100</f>
        <v>4512.8297000000002</v>
      </c>
      <c r="AD61" s="76">
        <f>(44.976455+0.151842)*100</f>
        <v>4512.8297000000002</v>
      </c>
      <c r="AE61" s="76">
        <f>(44.976455+0.151842)*100</f>
        <v>4512.8297000000002</v>
      </c>
      <c r="AF61" s="76">
        <f>AB61</f>
        <v>4512.8297000000002</v>
      </c>
      <c r="AG61" s="57">
        <f>AE61</f>
        <v>4512.8297000000002</v>
      </c>
      <c r="AH61" s="57">
        <f>AG61</f>
        <v>4512.8297000000002</v>
      </c>
      <c r="AI61" s="57">
        <f>AH61</f>
        <v>4512.8297000000002</v>
      </c>
      <c r="AJ61" s="57">
        <f>AI61</f>
        <v>4512.8297000000002</v>
      </c>
      <c r="AK61" s="145" t="s">
        <v>172</v>
      </c>
      <c r="AL61" s="87"/>
      <c r="AM61" s="87"/>
      <c r="AN61" s="87"/>
    </row>
    <row r="62" spans="1:40" ht="45">
      <c r="A62" s="82" t="s">
        <v>151</v>
      </c>
      <c r="B62" s="1" t="s">
        <v>57</v>
      </c>
      <c r="C62" s="6" t="s">
        <v>90</v>
      </c>
      <c r="D62" s="27">
        <f>2.809</f>
        <v>2.8090000000000002</v>
      </c>
      <c r="E62" s="27">
        <f>2.967</f>
        <v>2.9670000000000001</v>
      </c>
      <c r="F62" s="28">
        <v>3.1904034800000001</v>
      </c>
      <c r="G62" s="28">
        <v>3.1904034800000001</v>
      </c>
      <c r="H62" s="28" t="s">
        <v>88</v>
      </c>
      <c r="I62" s="28" t="s">
        <v>91</v>
      </c>
      <c r="J62" s="27">
        <f>F62*1.05</f>
        <v>3.3499236540000004</v>
      </c>
      <c r="K62" s="27">
        <v>3.5475530000000002</v>
      </c>
      <c r="L62" s="27">
        <v>3.5475530000000002</v>
      </c>
      <c r="M62" s="27">
        <v>3.5475530000000002</v>
      </c>
      <c r="N62" s="159">
        <v>3.5475530000000002</v>
      </c>
      <c r="O62" s="160">
        <f>L62+0.031653</f>
        <v>3.5792060000000001</v>
      </c>
      <c r="P62" s="160">
        <v>3.65</v>
      </c>
      <c r="Q62" s="160">
        <v>3.65</v>
      </c>
      <c r="R62" s="160">
        <v>3.7288709999999998</v>
      </c>
      <c r="S62" s="160">
        <f>R62</f>
        <v>3.7288709999999998</v>
      </c>
      <c r="T62" s="160" t="s">
        <v>117</v>
      </c>
      <c r="U62" s="160">
        <v>3.7288709999999998</v>
      </c>
      <c r="V62" s="89">
        <f>0.827737+2.877744</f>
        <v>3.7054809999999998</v>
      </c>
      <c r="W62" s="29" t="s">
        <v>89</v>
      </c>
      <c r="X62" s="76">
        <f>0.869124+2.964076</f>
        <v>3.8331999999999997</v>
      </c>
      <c r="Y62" s="29" t="s">
        <v>89</v>
      </c>
      <c r="Z62" s="89">
        <f>0.869124+2.964076</f>
        <v>3.8331999999999997</v>
      </c>
      <c r="AA62" s="89">
        <f>0.869124+2.964076</f>
        <v>3.8331999999999997</v>
      </c>
      <c r="AB62" s="161">
        <f>2.9297+0.76446</f>
        <v>3.6941600000000001</v>
      </c>
      <c r="AC62" s="33" t="s">
        <v>89</v>
      </c>
      <c r="AD62" s="33">
        <v>2.7</v>
      </c>
      <c r="AE62" s="89">
        <v>2.7</v>
      </c>
      <c r="AF62" s="161">
        <f>2.9107+0.7554</f>
        <v>3.6660999999999997</v>
      </c>
      <c r="AG62" s="161">
        <f>AF62*1.01</f>
        <v>3.7027609999999997</v>
      </c>
      <c r="AH62" s="161">
        <f t="shared" ref="AH62:AJ62" si="33">AG62*1.01</f>
        <v>3.7397886099999997</v>
      </c>
      <c r="AI62" s="161">
        <f t="shared" si="33"/>
        <v>3.7771864960999997</v>
      </c>
      <c r="AJ62" s="161">
        <f t="shared" si="33"/>
        <v>3.8149583610609996</v>
      </c>
      <c r="AK62" s="162" t="s">
        <v>206</v>
      </c>
      <c r="AL62" s="87"/>
      <c r="AM62" s="87"/>
      <c r="AN62" s="87"/>
    </row>
    <row r="63" spans="1:40" ht="45">
      <c r="A63" s="82" t="s">
        <v>152</v>
      </c>
      <c r="B63" s="1" t="s">
        <v>147</v>
      </c>
      <c r="C63" s="6" t="s">
        <v>148</v>
      </c>
      <c r="D63" s="27"/>
      <c r="E63" s="27"/>
      <c r="F63" s="28"/>
      <c r="G63" s="28"/>
      <c r="H63" s="28"/>
      <c r="I63" s="28"/>
      <c r="J63" s="27"/>
      <c r="K63" s="27"/>
      <c r="L63" s="27"/>
      <c r="M63" s="27"/>
      <c r="N63" s="160">
        <v>43.8</v>
      </c>
      <c r="O63" s="27"/>
      <c r="P63" s="27"/>
      <c r="Q63" s="27"/>
      <c r="R63" s="27"/>
      <c r="S63" s="27"/>
      <c r="T63" s="27"/>
      <c r="U63" s="27"/>
      <c r="V63" s="76">
        <f>N63-5.4-0.6</f>
        <v>37.799999999999997</v>
      </c>
      <c r="W63" s="29">
        <f>V63</f>
        <v>37.799999999999997</v>
      </c>
      <c r="X63" s="55"/>
      <c r="Y63" s="57">
        <v>43.1</v>
      </c>
      <c r="Z63" s="76">
        <v>44.482999999999997</v>
      </c>
      <c r="AA63" s="76">
        <v>43.540999999999997</v>
      </c>
      <c r="AB63" s="3">
        <f t="shared" si="27"/>
        <v>43.540999999999997</v>
      </c>
      <c r="AC63" s="76">
        <v>43.540999999999997</v>
      </c>
      <c r="AD63" s="76">
        <v>43.5</v>
      </c>
      <c r="AE63" s="76">
        <f t="shared" ref="AE63" si="34">AA63</f>
        <v>43.540999999999997</v>
      </c>
      <c r="AF63" s="3">
        <f t="shared" ref="AF63" si="35">AE63</f>
        <v>43.540999999999997</v>
      </c>
      <c r="AG63" s="76">
        <f>AE63</f>
        <v>43.540999999999997</v>
      </c>
      <c r="AH63" s="3">
        <f>AG63</f>
        <v>43.540999999999997</v>
      </c>
      <c r="AI63" s="3">
        <f>AH63</f>
        <v>43.540999999999997</v>
      </c>
      <c r="AJ63" s="3">
        <f>AI63</f>
        <v>43.540999999999997</v>
      </c>
      <c r="AK63" s="162" t="s">
        <v>204</v>
      </c>
      <c r="AL63" s="87"/>
      <c r="AM63" s="87"/>
      <c r="AN63" s="87"/>
    </row>
    <row r="64" spans="1:40" ht="114.75">
      <c r="A64" s="82" t="s">
        <v>153</v>
      </c>
      <c r="B64" s="1" t="s">
        <v>149</v>
      </c>
      <c r="C64" s="6" t="s">
        <v>148</v>
      </c>
      <c r="D64" s="27"/>
      <c r="E64" s="27"/>
      <c r="F64" s="28"/>
      <c r="G64" s="28"/>
      <c r="H64" s="28"/>
      <c r="I64" s="28"/>
      <c r="J64" s="27"/>
      <c r="K64" s="27"/>
      <c r="L64" s="27"/>
      <c r="M64" s="27"/>
      <c r="N64" s="76">
        <v>4.7</v>
      </c>
      <c r="O64" s="27"/>
      <c r="P64" s="27"/>
      <c r="Q64" s="27"/>
      <c r="R64" s="27"/>
      <c r="S64" s="27"/>
      <c r="T64" s="27"/>
      <c r="U64" s="27"/>
      <c r="V64" s="76">
        <v>3.6</v>
      </c>
      <c r="W64" s="29">
        <f>V64</f>
        <v>3.6</v>
      </c>
      <c r="X64" s="55"/>
      <c r="Y64" s="57">
        <v>3.6</v>
      </c>
      <c r="Z64" s="76">
        <v>6.8</v>
      </c>
      <c r="AA64" s="76">
        <v>6.6790000000000003</v>
      </c>
      <c r="AB64" s="76">
        <v>6.6790000000000003</v>
      </c>
      <c r="AC64" s="76">
        <v>6.6790000000000003</v>
      </c>
      <c r="AD64" s="76">
        <v>6.6790000000000003</v>
      </c>
      <c r="AE64" s="89">
        <v>6.6790000000000003</v>
      </c>
      <c r="AF64" s="163">
        <f>AB64+1.119-0.415</f>
        <v>7.383</v>
      </c>
      <c r="AG64" s="163">
        <f>AF64</f>
        <v>7.383</v>
      </c>
      <c r="AH64" s="163">
        <f t="shared" ref="AH64" si="36">AG64</f>
        <v>7.383</v>
      </c>
      <c r="AI64" s="163">
        <f>AH64+1.012</f>
        <v>8.3949999999999996</v>
      </c>
      <c r="AJ64" s="163">
        <f>AI64</f>
        <v>8.3949999999999996</v>
      </c>
      <c r="AK64" s="135" t="s">
        <v>205</v>
      </c>
      <c r="AL64" s="87"/>
      <c r="AM64" s="87"/>
      <c r="AN64" s="87"/>
    </row>
    <row r="65" spans="1:76">
      <c r="A65" s="7"/>
      <c r="B65" s="93" t="s">
        <v>218</v>
      </c>
      <c r="C65" s="67"/>
      <c r="D65" s="12"/>
      <c r="E65" s="13"/>
      <c r="F65" s="11"/>
      <c r="G65" s="11"/>
      <c r="H65" s="11"/>
      <c r="I65" s="11"/>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64"/>
      <c r="AL65" s="87"/>
      <c r="AM65" s="87"/>
      <c r="AN65" s="87"/>
    </row>
    <row r="66" spans="1:76">
      <c r="A66" s="7"/>
      <c r="B66" s="93"/>
      <c r="C66" s="67"/>
      <c r="D66" s="12"/>
      <c r="E66" s="13"/>
      <c r="F66" s="11"/>
      <c r="G66" s="11"/>
      <c r="H66" s="11"/>
      <c r="I66" s="11"/>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64"/>
      <c r="AL66" s="87"/>
      <c r="AM66" s="87"/>
      <c r="AN66" s="87"/>
    </row>
    <row r="67" spans="1:76">
      <c r="A67" s="7"/>
      <c r="B67" s="165"/>
      <c r="C67" s="67"/>
      <c r="D67" s="12"/>
      <c r="E67" s="13"/>
      <c r="F67" s="11"/>
      <c r="G67" s="11"/>
      <c r="H67" s="11"/>
      <c r="I67" s="11"/>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64"/>
      <c r="AL67" s="87"/>
      <c r="AM67" s="87"/>
      <c r="AN67" s="87"/>
    </row>
    <row r="68" spans="1:76" hidden="1">
      <c r="A68" s="5" t="s">
        <v>60</v>
      </c>
    </row>
    <row r="69" spans="1:76" ht="45" hidden="1">
      <c r="B69" s="68" t="s">
        <v>61</v>
      </c>
    </row>
    <row r="70" spans="1:76" ht="30" hidden="1">
      <c r="B70" s="166" t="s">
        <v>62</v>
      </c>
    </row>
    <row r="71" spans="1:76" ht="60" hidden="1">
      <c r="B71" s="69" t="s">
        <v>63</v>
      </c>
    </row>
    <row r="72" spans="1:76" ht="45" hidden="1">
      <c r="B72" s="70" t="s">
        <v>64</v>
      </c>
    </row>
    <row r="73" spans="1:76" ht="28.5" hidden="1" customHeight="1">
      <c r="B73" s="68" t="s">
        <v>65</v>
      </c>
    </row>
    <row r="74" spans="1:76" s="167" customFormat="1">
      <c r="A74" s="5"/>
      <c r="B74" s="36"/>
      <c r="C74" s="71"/>
      <c r="D74" s="26"/>
      <c r="E74" s="26"/>
      <c r="F74" s="26"/>
      <c r="G74" s="26"/>
      <c r="H74" s="26"/>
      <c r="I74" s="26"/>
      <c r="J74" s="26"/>
      <c r="K74" s="26"/>
      <c r="L74" s="26"/>
      <c r="M74" s="26"/>
      <c r="N74" s="26"/>
      <c r="O74" s="26"/>
      <c r="P74" s="19"/>
      <c r="Q74" s="19"/>
      <c r="R74" s="26"/>
      <c r="S74" s="19"/>
      <c r="T74" s="19"/>
      <c r="U74" s="19"/>
      <c r="V74" s="19"/>
      <c r="W74" s="19"/>
      <c r="X74" s="19"/>
      <c r="Y74" s="19"/>
      <c r="Z74" s="19"/>
      <c r="AA74" s="19"/>
      <c r="AB74" s="19"/>
      <c r="AC74" s="19"/>
      <c r="AD74" s="19"/>
      <c r="AE74" s="19"/>
      <c r="AF74" s="19"/>
      <c r="AG74" s="19"/>
      <c r="AH74" s="19"/>
      <c r="AI74" s="19"/>
      <c r="AJ74" s="19"/>
      <c r="AK74" s="127"/>
      <c r="AL74" s="35"/>
      <c r="AM74" s="35"/>
      <c r="AN74" s="35"/>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row>
  </sheetData>
  <mergeCells count="15">
    <mergeCell ref="A1:AI1"/>
    <mergeCell ref="A3:AE3"/>
    <mergeCell ref="P4:X4"/>
    <mergeCell ref="A5:A7"/>
    <mergeCell ref="B5:B7"/>
    <mergeCell ref="C5:C7"/>
    <mergeCell ref="AK58:AK59"/>
    <mergeCell ref="AH5:AJ5"/>
    <mergeCell ref="AK10:AK13"/>
    <mergeCell ref="A26:A28"/>
    <mergeCell ref="AK26:AK28"/>
    <mergeCell ref="A30:A32"/>
    <mergeCell ref="AK31:AK32"/>
    <mergeCell ref="A55:A57"/>
    <mergeCell ref="AK55:AK57"/>
  </mergeCells>
  <printOptions horizontalCentered="1"/>
  <pageMargins left="0" right="0" top="0" bottom="0" header="0.23622047244094491" footer="0.23622047244094491"/>
  <pageSetup paperSize="9" scale="7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прогноз на 2019-2021 - за 2017</vt:lpstr>
      <vt:lpstr>'прогноз на 2019-2021 - за 2017'!Заголовки_для_печати</vt:lpstr>
      <vt:lpstr>'прогноз на 2019-2021 - за 2017'!Область_печати</vt:lpstr>
    </vt:vector>
  </TitlesOfParts>
  <Company>Adm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Ekonom7</dc:creator>
  <cp:lastModifiedBy>Alex</cp:lastModifiedBy>
  <cp:lastPrinted>2017-10-26T05:57:51Z</cp:lastPrinted>
  <dcterms:created xsi:type="dcterms:W3CDTF">2014-05-19T10:52:36Z</dcterms:created>
  <dcterms:modified xsi:type="dcterms:W3CDTF">2018-05-14T07:46:07Z</dcterms:modified>
</cp:coreProperties>
</file>