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45" windowWidth="20730" windowHeight="11760"/>
  </bookViews>
  <sheets>
    <sheet name="прогноз на 2018-2020 - за  9мес" sheetId="13" r:id="rId1"/>
  </sheets>
  <definedNames>
    <definedName name="_xlnm.Print_Titles" localSheetId="0">'прогноз на 2018-2020 - за  9мес'!$5:$7</definedName>
    <definedName name="_xlnm.Print_Area" localSheetId="0">'прогноз на 2018-2020 - за  9мес'!$A$1:$AI$68</definedName>
  </definedNames>
  <calcPr calcId="125725"/>
</workbook>
</file>

<file path=xl/calcChain.xml><?xml version="1.0" encoding="utf-8"?>
<calcChain xmlns="http://schemas.openxmlformats.org/spreadsheetml/2006/main">
  <c r="AE57" i="13"/>
  <c r="AB57"/>
  <c r="AG62"/>
  <c r="AH62" s="1"/>
  <c r="AF62"/>
  <c r="AE46"/>
  <c r="AE29" l="1"/>
  <c r="AF29" s="1"/>
  <c r="AG29" s="1"/>
  <c r="AH29" s="1"/>
  <c r="AE27"/>
  <c r="AF27" s="1"/>
  <c r="AG27" s="1"/>
  <c r="AH27" s="1"/>
  <c r="AH49"/>
  <c r="AG49"/>
  <c r="AF49"/>
  <c r="AE41" l="1"/>
  <c r="AF41" s="1"/>
  <c r="AG41" s="1"/>
  <c r="AH41" s="1"/>
  <c r="AE49"/>
  <c r="AE24"/>
  <c r="AH13"/>
  <c r="AG13"/>
  <c r="AF13"/>
  <c r="AE13"/>
  <c r="AH12"/>
  <c r="AE11"/>
  <c r="AF64" l="1"/>
  <c r="AG64" s="1"/>
  <c r="AH64" s="1"/>
  <c r="AH47"/>
  <c r="AG47"/>
  <c r="AF47"/>
  <c r="AE47"/>
  <c r="AA49"/>
  <c r="AA48"/>
  <c r="AB47"/>
  <c r="V49"/>
  <c r="V47" s="1"/>
  <c r="AB49"/>
  <c r="AD49"/>
  <c r="AD47" s="1"/>
  <c r="AE45"/>
  <c r="AF45" s="1"/>
  <c r="AG45" s="1"/>
  <c r="AH45" s="1"/>
  <c r="AD45"/>
  <c r="AE44"/>
  <c r="AF44" s="1"/>
  <c r="AG44" s="1"/>
  <c r="AH44" s="1"/>
  <c r="AD44"/>
  <c r="AE40"/>
  <c r="AF40" s="1"/>
  <c r="AG40" s="1"/>
  <c r="AH40" s="1"/>
  <c r="AD40"/>
  <c r="AD38" s="1"/>
  <c r="AH43"/>
  <c r="AD43"/>
  <c r="AB42"/>
  <c r="AD42" l="1"/>
  <c r="AE38"/>
  <c r="AE35"/>
  <c r="AE34"/>
  <c r="AE52"/>
  <c r="AD52"/>
  <c r="AB52"/>
  <c r="AD51"/>
  <c r="AF38" l="1"/>
  <c r="AE20"/>
  <c r="AF20" s="1"/>
  <c r="AH38" l="1"/>
  <c r="AG38"/>
  <c r="AD26" l="1"/>
  <c r="AB53" l="1"/>
  <c r="AD53"/>
  <c r="AH58"/>
  <c r="AD58"/>
  <c r="AH55"/>
  <c r="AD55"/>
  <c r="AD61"/>
  <c r="AB63" l="1"/>
  <c r="AB59"/>
  <c r="AB56"/>
  <c r="AE22" s="1"/>
  <c r="AF22" s="1"/>
  <c r="AB38"/>
  <c r="AB26"/>
  <c r="AE26" s="1"/>
  <c r="AF26" s="1"/>
  <c r="AG26" s="1"/>
  <c r="AH26" s="1"/>
  <c r="AC26"/>
  <c r="AC61"/>
  <c r="W64"/>
  <c r="AF63"/>
  <c r="AG63" s="1"/>
  <c r="AH63" s="1"/>
  <c r="AE63"/>
  <c r="V63"/>
  <c r="W63" s="1"/>
  <c r="AA62"/>
  <c r="AB62" s="1"/>
  <c r="Z62"/>
  <c r="X62"/>
  <c r="V62"/>
  <c r="S62"/>
  <c r="O62"/>
  <c r="J62"/>
  <c r="E62"/>
  <c r="D62"/>
  <c r="AE61"/>
  <c r="AF61" s="1"/>
  <c r="AG61" s="1"/>
  <c r="AH61" s="1"/>
  <c r="AA61"/>
  <c r="AB61" s="1"/>
  <c r="Z61"/>
  <c r="Y61"/>
  <c r="X61"/>
  <c r="W61"/>
  <c r="P61"/>
  <c r="J61"/>
  <c r="G61"/>
  <c r="F61"/>
  <c r="E61"/>
  <c r="D61"/>
  <c r="AA58"/>
  <c r="AB58" s="1"/>
  <c r="V58"/>
  <c r="T58"/>
  <c r="S58"/>
  <c r="R58"/>
  <c r="Q58"/>
  <c r="O58"/>
  <c r="N58"/>
  <c r="Z57"/>
  <c r="Z55" s="1"/>
  <c r="AG55"/>
  <c r="AF55"/>
  <c r="AE55"/>
  <c r="AA55"/>
  <c r="AB55" s="1"/>
  <c r="Y55"/>
  <c r="V55"/>
  <c r="U55"/>
  <c r="T55"/>
  <c r="S55"/>
  <c r="R55"/>
  <c r="Q55"/>
  <c r="P55"/>
  <c r="O55"/>
  <c r="N55"/>
  <c r="AA53"/>
  <c r="V53"/>
  <c r="T53"/>
  <c r="S53"/>
  <c r="R53"/>
  <c r="Q53"/>
  <c r="O53"/>
  <c r="AA52"/>
  <c r="Y52"/>
  <c r="Z52" s="1"/>
  <c r="AA51"/>
  <c r="AB51" s="1"/>
  <c r="Z51"/>
  <c r="Z47"/>
  <c r="N47"/>
  <c r="AG46"/>
  <c r="AH46" s="1"/>
  <c r="AF53"/>
  <c r="Y42"/>
  <c r="Z38"/>
  <c r="AF35"/>
  <c r="AG35" s="1"/>
  <c r="AH35" s="1"/>
  <c r="Z35"/>
  <c r="X35"/>
  <c r="U35"/>
  <c r="S35"/>
  <c r="Q35"/>
  <c r="P35"/>
  <c r="J35"/>
  <c r="AF34"/>
  <c r="AG34" s="1"/>
  <c r="AH34" s="1"/>
  <c r="Z34"/>
  <c r="X34"/>
  <c r="U34"/>
  <c r="S34"/>
  <c r="Q34"/>
  <c r="K34"/>
  <c r="P34" s="1"/>
  <c r="J34"/>
  <c r="E30"/>
  <c r="G30" s="1"/>
  <c r="N30" s="1"/>
  <c r="V30" s="1"/>
  <c r="AE30" s="1"/>
  <c r="X28"/>
  <c r="Z28" s="1"/>
  <c r="X27"/>
  <c r="Z27" s="1"/>
  <c r="AA26"/>
  <c r="Y26"/>
  <c r="V26"/>
  <c r="X26" s="1"/>
  <c r="N26"/>
  <c r="J26"/>
  <c r="G26"/>
  <c r="E26"/>
  <c r="D26"/>
  <c r="AF24"/>
  <c r="AG24" s="1"/>
  <c r="AH24" s="1"/>
  <c r="Z22"/>
  <c r="X22"/>
  <c r="V21"/>
  <c r="AA21" s="1"/>
  <c r="AB21" s="1"/>
  <c r="AG20"/>
  <c r="AH20" s="1"/>
  <c r="Z20"/>
  <c r="Z17" s="1"/>
  <c r="X20"/>
  <c r="V18"/>
  <c r="AA18" s="1"/>
  <c r="AA15" s="1"/>
  <c r="U18"/>
  <c r="X17"/>
  <c r="V17"/>
  <c r="N17"/>
  <c r="N15" s="1"/>
  <c r="G17"/>
  <c r="U15"/>
  <c r="S15"/>
  <c r="P15"/>
  <c r="Q15" s="1"/>
  <c r="J15"/>
  <c r="G15"/>
  <c r="Z13"/>
  <c r="G13"/>
  <c r="F13"/>
  <c r="J13" s="1"/>
  <c r="U12"/>
  <c r="S12"/>
  <c r="Q12"/>
  <c r="P12"/>
  <c r="L12"/>
  <c r="K12"/>
  <c r="J12"/>
  <c r="H12"/>
  <c r="G12"/>
  <c r="F12"/>
  <c r="X12" s="1"/>
  <c r="Z12" s="1"/>
  <c r="U11"/>
  <c r="U10" s="1"/>
  <c r="U58" s="1"/>
  <c r="S11"/>
  <c r="Q11"/>
  <c r="P11"/>
  <c r="J11"/>
  <c r="J10" s="1"/>
  <c r="H11"/>
  <c r="G11"/>
  <c r="F11"/>
  <c r="X11" s="1"/>
  <c r="Z11" s="1"/>
  <c r="AG58"/>
  <c r="AF58"/>
  <c r="AE58"/>
  <c r="Z10"/>
  <c r="Z58" s="1"/>
  <c r="Y10"/>
  <c r="Y58" s="1"/>
  <c r="W10"/>
  <c r="K10"/>
  <c r="I10"/>
  <c r="V15" l="1"/>
  <c r="AE21"/>
  <c r="AD21"/>
  <c r="Y53"/>
  <c r="AB18"/>
  <c r="AE17"/>
  <c r="F30"/>
  <c r="M30" s="1"/>
  <c r="U30" s="1"/>
  <c r="P10"/>
  <c r="X21"/>
  <c r="X18"/>
  <c r="AF17"/>
  <c r="AG22"/>
  <c r="Z29"/>
  <c r="Z26"/>
  <c r="P58"/>
  <c r="P53"/>
  <c r="Z30"/>
  <c r="AF30"/>
  <c r="AG30" s="1"/>
  <c r="AH30" s="1"/>
  <c r="X30"/>
  <c r="AE28"/>
  <c r="J30"/>
  <c r="AE53"/>
  <c r="AG11"/>
  <c r="AH11" s="1"/>
  <c r="Y18"/>
  <c r="Z18" s="1"/>
  <c r="Z15" s="1"/>
  <c r="Y21"/>
  <c r="Z21" s="1"/>
  <c r="Z42"/>
  <c r="Z53" s="1"/>
  <c r="U53"/>
  <c r="L30" l="1"/>
  <c r="S30" s="1"/>
  <c r="AB15"/>
  <c r="AE18"/>
  <c r="AE15" s="1"/>
  <c r="K30"/>
  <c r="P30" s="1"/>
  <c r="X15"/>
  <c r="AH28"/>
  <c r="AG28"/>
  <c r="AF21"/>
  <c r="AG21" s="1"/>
  <c r="AH21" s="1"/>
  <c r="AG53"/>
  <c r="AH53"/>
  <c r="AH22"/>
  <c r="AH17" s="1"/>
  <c r="AG17"/>
  <c r="AF28"/>
  <c r="AF18" l="1"/>
  <c r="AG18" s="1"/>
  <c r="AH18" s="1"/>
  <c r="AH15" s="1"/>
  <c r="Q30"/>
  <c r="AF15" l="1"/>
  <c r="AG15"/>
</calcChain>
</file>

<file path=xl/comments1.xml><?xml version="1.0" encoding="utf-8"?>
<comments xmlns="http://schemas.openxmlformats.org/spreadsheetml/2006/main">
  <authors>
    <author>Ekonom7</author>
    <author>Inet</author>
  </authors>
  <commentList>
    <comment ref="N52" authorId="0">
      <text>
        <r>
          <rPr>
            <b/>
            <sz val="9"/>
            <color indexed="81"/>
            <rFont val="Tahoma"/>
            <family val="2"/>
            <charset val="204"/>
          </rPr>
          <t>Ekonom7:</t>
        </r>
        <r>
          <rPr>
            <sz val="9"/>
            <color indexed="81"/>
            <rFont val="Tahoma"/>
            <family val="2"/>
            <charset val="204"/>
          </rPr>
          <t xml:space="preserve">
на 31.12.14</t>
        </r>
      </text>
    </comment>
    <comment ref="V52" authorId="0">
      <text>
        <r>
          <rPr>
            <b/>
            <sz val="9"/>
            <color indexed="81"/>
            <rFont val="Tahoma"/>
            <family val="2"/>
            <charset val="204"/>
          </rPr>
          <t>Ekonom7:</t>
        </r>
        <r>
          <rPr>
            <sz val="9"/>
            <color indexed="81"/>
            <rFont val="Tahoma"/>
            <family val="2"/>
            <charset val="204"/>
          </rPr>
          <t xml:space="preserve">
на 31.12.15</t>
        </r>
      </text>
    </comment>
    <comment ref="Y52" authorId="1">
      <text>
        <r>
          <rPr>
            <b/>
            <sz val="9"/>
            <color indexed="81"/>
            <rFont val="Tahoma"/>
            <family val="2"/>
            <charset val="204"/>
          </rPr>
          <t>Inet:</t>
        </r>
        <r>
          <rPr>
            <sz val="9"/>
            <color indexed="81"/>
            <rFont val="Tahoma"/>
            <family val="2"/>
            <charset val="204"/>
          </rPr>
          <t xml:space="preserve">
за 9 мес. Поставлено - 59, снято 237</t>
        </r>
      </text>
    </comment>
    <comment ref="Z52" authorId="0">
      <text>
        <r>
          <rPr>
            <b/>
            <sz val="9"/>
            <color indexed="81"/>
            <rFont val="Tahoma"/>
            <family val="2"/>
            <charset val="204"/>
          </rPr>
          <t>Ekonom7:</t>
        </r>
        <r>
          <rPr>
            <sz val="9"/>
            <color indexed="81"/>
            <rFont val="Tahoma"/>
            <family val="2"/>
            <charset val="204"/>
          </rPr>
          <t xml:space="preserve">
на 31.12.15 = 01.01.16</t>
        </r>
      </text>
    </comment>
    <comment ref="AA52" authorId="0">
      <text>
        <r>
          <rPr>
            <b/>
            <sz val="9"/>
            <color indexed="81"/>
            <rFont val="Tahoma"/>
            <family val="2"/>
            <charset val="204"/>
          </rPr>
          <t>Ekonom7:</t>
        </r>
        <r>
          <rPr>
            <sz val="9"/>
            <color indexed="81"/>
            <rFont val="Tahoma"/>
            <family val="2"/>
            <charset val="204"/>
          </rPr>
          <t xml:space="preserve">
на 01.01.2017
</t>
        </r>
      </text>
    </comment>
    <comment ref="AB52" authorId="0">
      <text>
        <r>
          <rPr>
            <b/>
            <sz val="9"/>
            <color indexed="81"/>
            <rFont val="Tahoma"/>
            <family val="2"/>
            <charset val="204"/>
          </rPr>
          <t>Ekonom7:</t>
        </r>
        <r>
          <rPr>
            <sz val="9"/>
            <color indexed="81"/>
            <rFont val="Tahoma"/>
            <family val="2"/>
            <charset val="204"/>
          </rPr>
          <t xml:space="preserve">
на 01.01.2017
</t>
        </r>
      </text>
    </comment>
  </commentList>
</comments>
</file>

<file path=xl/sharedStrings.xml><?xml version="1.0" encoding="utf-8"?>
<sst xmlns="http://schemas.openxmlformats.org/spreadsheetml/2006/main" count="427" uniqueCount="226">
  <si>
    <t>№ п/п</t>
  </si>
  <si>
    <t>Наименование индикатора</t>
  </si>
  <si>
    <t>Ед. изм.</t>
  </si>
  <si>
    <t>отчет</t>
  </si>
  <si>
    <t>оценка</t>
  </si>
  <si>
    <t>2011 год</t>
  </si>
  <si>
    <t>2012 года</t>
  </si>
  <si>
    <t>2013 год</t>
  </si>
  <si>
    <t>2014 год</t>
  </si>
  <si>
    <t>2015 год</t>
  </si>
  <si>
    <t>2016 год</t>
  </si>
  <si>
    <t>1.</t>
  </si>
  <si>
    <t>Демографическая ситуация</t>
  </si>
  <si>
    <t>1.1.</t>
  </si>
  <si>
    <t>Среднегодовая численность постоянного населения</t>
  </si>
  <si>
    <t>тыс. чел.</t>
  </si>
  <si>
    <t>1.2.</t>
  </si>
  <si>
    <t>Естественный прирост (убыль) человек</t>
  </si>
  <si>
    <t>тыс.чел.</t>
  </si>
  <si>
    <t>1.3.</t>
  </si>
  <si>
    <t>Миграционный прирост (убыль) населения</t>
  </si>
  <si>
    <t>1.4.</t>
  </si>
  <si>
    <t>Численность населения трудоспособного возраста</t>
  </si>
  <si>
    <t>2.</t>
  </si>
  <si>
    <t>Труд</t>
  </si>
  <si>
    <t>2.1.</t>
  </si>
  <si>
    <t>Фонд оплаты труда работников предприятий, организаций расположенных на территории муниципального образования</t>
  </si>
  <si>
    <t>млн. руб.</t>
  </si>
  <si>
    <t>2.2.</t>
  </si>
  <si>
    <t>Среднесписочная численность работников (без внешних совместителей) всех предприятий и организаций</t>
  </si>
  <si>
    <t>2.3.</t>
  </si>
  <si>
    <t>рублей</t>
  </si>
  <si>
    <t>3.</t>
  </si>
  <si>
    <t>Предпринимательство</t>
  </si>
  <si>
    <t>3.1.</t>
  </si>
  <si>
    <t>3.2.</t>
  </si>
  <si>
    <t>3.3.</t>
  </si>
  <si>
    <t>4.</t>
  </si>
  <si>
    <t>Потребительский рынок</t>
  </si>
  <si>
    <t>4.1.</t>
  </si>
  <si>
    <t xml:space="preserve"> Оборот розничной торговли</t>
  </si>
  <si>
    <t>млн. руб</t>
  </si>
  <si>
    <t>4.2.</t>
  </si>
  <si>
    <t>Оборот общественного питания</t>
  </si>
  <si>
    <t>4.3.</t>
  </si>
  <si>
    <t>5.</t>
  </si>
  <si>
    <t>5.1.</t>
  </si>
  <si>
    <t>5.2.</t>
  </si>
  <si>
    <t>5.3.</t>
  </si>
  <si>
    <t>5.4.</t>
  </si>
  <si>
    <t>5.5.</t>
  </si>
  <si>
    <t>6.</t>
  </si>
  <si>
    <t>Прочие показатели</t>
  </si>
  <si>
    <t>6.1.</t>
  </si>
  <si>
    <t>Общая площадь территории городского округа</t>
  </si>
  <si>
    <t>га</t>
  </si>
  <si>
    <t>6.2.</t>
  </si>
  <si>
    <t>Площадь земельных участков, являющихся объектами налогообложения земельным налогом</t>
  </si>
  <si>
    <t>Общая площадь жилых помещений, приходящаяся в среднем на одного жителя</t>
  </si>
  <si>
    <t>кв.м</t>
  </si>
  <si>
    <t>* - предоставлены показатели за 9 месяцев</t>
  </si>
  <si>
    <t>4.4. Объем работ, выполненных по виду деятельности "строительство" за 2007г</t>
  </si>
  <si>
    <t>предоставлены показатели за 9 месяцев *</t>
  </si>
  <si>
    <t>5. Ввод в действие жилья и объектов соцкультбыта за 2007 г предоставлены показатели за 9 месяцев *</t>
  </si>
  <si>
    <t>5. Потребительский рынок за 2007 год представлены показатели за 9 месяцев *</t>
  </si>
  <si>
    <t>Прогноз на 2011 год 1 Вариант не представлен, отсутствует индекс-дефлятор</t>
  </si>
  <si>
    <t>2017 год</t>
  </si>
  <si>
    <t>прогноз</t>
  </si>
  <si>
    <t>тыс. чел</t>
  </si>
  <si>
    <t>Оборот продукции (услуг), производимый малыми предприятиями, в т.ч.</t>
  </si>
  <si>
    <t>микропредприятиями</t>
  </si>
  <si>
    <t>индивидуальными предпринимателями</t>
  </si>
  <si>
    <t>Исп. Михайлюк И.В.</t>
  </si>
  <si>
    <t>единиц</t>
  </si>
  <si>
    <t>Примечание</t>
  </si>
  <si>
    <t>6 месяцев 2014</t>
  </si>
  <si>
    <t>2368,2**</t>
  </si>
  <si>
    <t>778,2**</t>
  </si>
  <si>
    <t>15,5*</t>
  </si>
  <si>
    <t>14,3*</t>
  </si>
  <si>
    <t>23,2*</t>
  </si>
  <si>
    <t>386,4*</t>
  </si>
  <si>
    <t>62 163,5*</t>
  </si>
  <si>
    <t>1 921,3*</t>
  </si>
  <si>
    <t>9 месяцев 2014</t>
  </si>
  <si>
    <t>65 423,7**</t>
  </si>
  <si>
    <t>0,08***</t>
  </si>
  <si>
    <t>0,1***</t>
  </si>
  <si>
    <t>5014,3***</t>
  </si>
  <si>
    <t>4320*</t>
  </si>
  <si>
    <t>инф-я отсутствует</t>
  </si>
  <si>
    <t>кв.км</t>
  </si>
  <si>
    <t>4,32*</t>
  </si>
  <si>
    <t>2018 год</t>
  </si>
  <si>
    <t>6 месяцев 2015</t>
  </si>
  <si>
    <t>оценка на 15.04.15</t>
  </si>
  <si>
    <t>индекс потребительских цен</t>
  </si>
  <si>
    <t>15,3*</t>
  </si>
  <si>
    <t>66902,5*</t>
  </si>
  <si>
    <t xml:space="preserve">оценка </t>
  </si>
  <si>
    <t xml:space="preserve">отчет </t>
  </si>
  <si>
    <t>отчет на 01.08.2015</t>
  </si>
  <si>
    <t>оценка на 01.08.2015</t>
  </si>
  <si>
    <t>уточненный</t>
  </si>
  <si>
    <t>на 15.04.15</t>
  </si>
  <si>
    <t>на 01.10.2015</t>
  </si>
  <si>
    <t>на 23.11.2015</t>
  </si>
  <si>
    <t xml:space="preserve"> на 01.10.2015</t>
  </si>
  <si>
    <t>9 месяцев 2015</t>
  </si>
  <si>
    <t>2019 год</t>
  </si>
  <si>
    <t>5 406,7***</t>
  </si>
  <si>
    <t>в том числе</t>
  </si>
  <si>
    <t>Фонд оплаты труда работников  крупных и средних организаций, расположенных на территории муниципального образования</t>
  </si>
  <si>
    <t>12,865***</t>
  </si>
  <si>
    <t>Среднесписочная численность работников (без внешних совместителей) крупных и средних организаций</t>
  </si>
  <si>
    <t>Среднесписочная численность работников (без внешних совместителей) малых и средних организаций</t>
  </si>
  <si>
    <t>70 044,0***</t>
  </si>
  <si>
    <t>Число субъектов малого и среднего предпринимательства, всего, в т.ч.</t>
  </si>
  <si>
    <t>3,728871***</t>
  </si>
  <si>
    <t>6 месяцев 2016</t>
  </si>
  <si>
    <t>2016 год по итогам за 6 мес.</t>
  </si>
  <si>
    <t>9 месяцев 2016</t>
  </si>
  <si>
    <t>2.4.</t>
  </si>
  <si>
    <t>Уровень безработицы</t>
  </si>
  <si>
    <t>%</t>
  </si>
  <si>
    <t>2.5.</t>
  </si>
  <si>
    <t>Прожиточный минимум на душу населения</t>
  </si>
  <si>
    <t>- индивидуальных предпринимателей</t>
  </si>
  <si>
    <t>- юридических лиц</t>
  </si>
  <si>
    <t>Количество индивидуальных предпринимателей, применяющих патентную систему налогообложения</t>
  </si>
  <si>
    <t>Индекс потребительских цен (декабрь к декабрю)</t>
  </si>
  <si>
    <t>Жилищное строительство и обеспечение граждан жильем</t>
  </si>
  <si>
    <t>Количество многоквартирных домов</t>
  </si>
  <si>
    <t>Общая площадь жилых помещений муниципального жилого фонда</t>
  </si>
  <si>
    <t>тыс.кв.м.</t>
  </si>
  <si>
    <t>Объем жилищного строительства</t>
  </si>
  <si>
    <t>Количество граждан, получивших жилые помещения и улучшивших жилищные условия в отчетном периоде из числа граждан, состоящих на учете в качестве нуждающегося в жилых помещениях</t>
  </si>
  <si>
    <t>5.6.</t>
  </si>
  <si>
    <t>Количество граждан, состоящих на учете в качестве нуждающихся в жилых помещениях</t>
  </si>
  <si>
    <t>Организация муниципального управления</t>
  </si>
  <si>
    <t>Сумма доходов местного бюджета, всего, в т.ч.</t>
  </si>
  <si>
    <t>собственные налоговые и неналоговые доходы местного бюджета</t>
  </si>
  <si>
    <t>межбюджетные трансферты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</si>
  <si>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</si>
  <si>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</t>
  </si>
  <si>
    <t>7.</t>
  </si>
  <si>
    <t>тыс.руб.</t>
  </si>
  <si>
    <t>5.2.1.</t>
  </si>
  <si>
    <t>Общая протяженность автомобильных дорог общего пользования местного значения</t>
  </si>
  <si>
    <t>км</t>
  </si>
  <si>
    <t>Протяженность автомобильных дорог общего пользования местного значения, отвечающих нормативным требованиям</t>
  </si>
  <si>
    <t>7.1.</t>
  </si>
  <si>
    <t>7.2.</t>
  </si>
  <si>
    <t>7.3.</t>
  </si>
  <si>
    <t>7.4.</t>
  </si>
  <si>
    <t>Среднемесячная номинальная начисленная заработная плата работников крупных и средних предприятий и некоммерческих организаций</t>
  </si>
  <si>
    <t>расчетным путем</t>
  </si>
  <si>
    <t>семей</t>
  </si>
  <si>
    <t>5777,5431***</t>
  </si>
  <si>
    <r>
      <t xml:space="preserve">расчетным </t>
    </r>
    <r>
      <rPr>
        <sz val="10"/>
        <rFont val="Times New Roman Cyr"/>
        <charset val="204"/>
      </rPr>
      <t>путем</t>
    </r>
  </si>
  <si>
    <t>Общая площадь жилых помещений (МКД + ИЖД), всего, в том числе:</t>
  </si>
  <si>
    <t>5777,5*</t>
  </si>
  <si>
    <t>72340,5*</t>
  </si>
  <si>
    <t>104,34**</t>
  </si>
  <si>
    <t>58*</t>
  </si>
  <si>
    <t>факт</t>
  </si>
  <si>
    <t>2020 год</t>
  </si>
  <si>
    <t>по данным годового отчета 1-жилфонд по состоянию на 01.01.2015 составляла 74,8 тыс.м2, на 01.01.2016 – 76,5 тыс.м2, на 01.01.2017 – 81,1 тыс.м2.
Прогнозные показатели установлены расчетным путем с сохранением сложившейся динамики, т.к. полномочия по строительсту жилфонда переданы в субъект Федерации.</t>
  </si>
  <si>
    <t>14,7*</t>
  </si>
  <si>
    <t>0,3*</t>
  </si>
  <si>
    <t>2287,0*</t>
  </si>
  <si>
    <t>486,5*</t>
  </si>
  <si>
    <t>1902,9*</t>
  </si>
  <si>
    <t>6 месяцев 2017</t>
  </si>
  <si>
    <t>9 месяцев 2017</t>
  </si>
  <si>
    <t>по итогам за  9 месяцев 2017 до 30.10.2017</t>
  </si>
  <si>
    <t xml:space="preserve">
Показатель за 2017 год увеличился в связи с выделением из окружного бюджета дополнительны межбюджетных трансфертов на проведение мероприятий по подготовке объектов ЖКХ к ОЗП, проаедение мероприятий по благоустройству дворовых территорий в рамках приоритетного проекта "Формирование комфортной среды", на приобретение спецтехники и установку углубленных контейнеров.   Прогнозный показатель размера  доходов местного бюджета на 2018 – 2020 годы установлен с учетом снижения размера межбюджетных трансфертов в связи с отсутствием подписанных протоколов и  исключением поступлений на выполнение мероприятий, выполняемых в течении одного финансового года. </t>
  </si>
  <si>
    <t xml:space="preserve">Показатель указан по данным УМИ и ЗО </t>
  </si>
  <si>
    <t>нет данных</t>
  </si>
  <si>
    <t>5091,8*</t>
  </si>
  <si>
    <t>12,021*</t>
  </si>
  <si>
    <t>* - за 6 мес. 2017 года</t>
  </si>
  <si>
    <t>5098,9*</t>
  </si>
  <si>
    <t>70 595,4*</t>
  </si>
  <si>
    <t>2,4%**</t>
  </si>
  <si>
    <t>** - на 01.09.2017 года</t>
  </si>
  <si>
    <t>По данным КУ НАО "Центр занятости населения"  на 01.09.2017 уровень безработицы составил 2,4%.</t>
  </si>
  <si>
    <t>82*</t>
  </si>
  <si>
    <t xml:space="preserve">По статистическим данным Межрайонной инспекции ФНС РФ № 4 по Архангельской области и НАО по форме отчета патент – 1 по состоянию на 31.12.2016 год и на 01.07.2017 года .Уточнен показатель за 2017 год и плановый период с учетом динамики за 6 мес. 2017 </t>
  </si>
  <si>
    <t>Протяженность мун.дорог по состоянию на 31.12.2016 составляет 43,541  км. В связи с высокой дотационностью городского бюджета строительство новых муниципальных дорог  не планируется.</t>
  </si>
  <si>
    <t>общежития</t>
  </si>
  <si>
    <t>МКД</t>
  </si>
  <si>
    <t>ИЖД</t>
  </si>
  <si>
    <t xml:space="preserve">По состоянию на 31.12.2016 в МО числится  6 общежитий общей жилой площадью 5063,12 м2. </t>
  </si>
  <si>
    <t>не планируется</t>
  </si>
  <si>
    <t>0,004**</t>
  </si>
  <si>
    <t xml:space="preserve">В соответствии с планом статистических работ, утвержденным распоряжением Правительства РФ от 06.05.2008 № 671-р, данные о естественном приросте, миграции населения формируются 2 июля, данные о численности городского и сельского населения на 1 января текущего года - 31 июля, данные о возрастно-половом составе населения на 1 января текущего года – 1 октября. Промежуточные данные по показателям не формируются в соответствии с планом статистических работ. Уточнены данные по п.1.3.,1.4. за 2016 год. По данным Архстата за 8 мес. 2017 миграция составила 4 человека ( 814 прибыло, 810 убыло), естественный прирост составил 110 человек. Показатели на прогнозный период 2017 – 2020 годов сформированы с учетом  данных статуправления за 2016 год и 8 мес. 2017, динамики изменения численности населения по поло-возрастным группам и прогнозных показателей по НАО.  </t>
  </si>
  <si>
    <t>Показатель указан по данным Росстата за 2016 год и прогноза Минэкономразвития России, по прогнозу СЭР от 24.11.2016.</t>
  </si>
  <si>
    <t>по данным Управления федеральной службы государственной статистики по Архангельской области и НАО  с сайта.  За 6 мес. 2017 года снизилась числ-ть раб-в орг-ций образования, лптовой и розничной торговли, строительства, траспортировки и хранения, добычи полезных ископаемых, государственного управления. Ожидаемое значение за 2017 год сформировано по среднегодовой динвамитке за 2015 - 2017 годы. Прогнозный показатель сформирован с учетом среднегодовой динамики изменения.</t>
  </si>
  <si>
    <t>по данным Управления федеральной службы государственной статистики по Архангельской области и НАО  с сайта.  За 6 мес. 2017 года снизилась среднемес. заработная плата раб-в орг-ций  траспортировки и хранения, добычи полезных ископаемых, государственного управления., обрабатывающего производства. Уточнен показатель за 2017 год с учетом факта за 6 мес. 2017 года и ожидаемых налоговых доходов. Плановый 2018 год сформирован с ростом на 3% в связи с ожидаемым повышением заработной платы работников бюджетных организаций на 3-6%. Прогнозный период 2019 - 2020 годов запланирован с ежегодным ростом на 3%</t>
  </si>
  <si>
    <t>статистические показатели с сайта за 12 мес. 2016 и 6 мес. 2017 года. Уточнен показатель за 2017 год с учетом факта за 6 мес. 2017 года и ожидаемых налоговых доходов. Плановый 2018 год сформирован с ростом в связи с ожидаемым повышением заработной платы работников бюджетных организаций на 3-6%. Прогнозный период 2019 - 2020 годов запланирован с ежегодным ростом на 3%</t>
  </si>
  <si>
    <t xml:space="preserve"> Уточнен показатель за 2017 год с учетом факта за 6 мес. 2017 года и ожидаемых налоговых доходов. Плановый 2018 год сформирован с ростом в связи с ожидаемым повышением заработной платы работников бюджетных организаций на 3-6%. Прогнозный период 2019 - 2020 годов запланирован с ежегодным ростом на 3%. При этом среднесписочная численность работников (без внешних совместителей) всех предприятий и организаций снизилась в связи со снижением миграции населения.</t>
  </si>
  <si>
    <t>Уточнен показатель за 2016 год по данным официального сайта Управления федеральной службы государственной статистики по Архангельской области и НАО. .Прогноз составлен с учетом доведенных ИПЦ</t>
  </si>
  <si>
    <t xml:space="preserve"> По данным Департамента строит-ва, ЖКХ, энергетики и транспорта  НАО ожидается ежегодно вводить по 10 тыс.м2 жилой S в ИЖД, что в среднем соответствует 50 ИЖД</t>
  </si>
  <si>
    <t xml:space="preserve">По данным единого реестра субъектов малого и среднего предпринимательства (с августа 2016), размещенного на  официальном сайте Федеральной налоговой службы . </t>
  </si>
  <si>
    <t xml:space="preserve">По состоянию на 31.12.2016 в МО числится 401 МКД. За 9 месяцев 2017 года  снесен 1 МКД по ул.Ленина д.44. До конца 2017 года планируется ввести в эксплуатацию 2 МКД (по ул. Полярной и ул.Тыко-Вылко) и снести 6 МКД (ул. Бондарная д.17, ул.Ленина д.46А, ул. Ленина д.56, ул.Меньшикова д.6А, ул. Смидовича д.35А, ул.Юбилейная 22А).   В 2018 году планируется вести в эксплуатацию 6 МКД (1 МКД по ул. Ленина, 1 МКД по ул.Авиаторов, 3 МКД по ул.Пионерской, 1 МКД по ул.Первомайской) и снести 9 МКД; в 2019 году ввести 1 МКД по ул.Первомайской и снести 8 МКД;, в 2020 году снести 4 МКД. </t>
  </si>
  <si>
    <r>
      <t xml:space="preserve">По состоянию на 31.12.2016 в МО числится 401 многоквартирный дом общей жилой площадью 492 182,1 м2. </t>
    </r>
    <r>
      <rPr>
        <i/>
        <u/>
        <sz val="10"/>
        <rFont val="Times New Roman Cyr"/>
        <charset val="204"/>
      </rPr>
      <t xml:space="preserve">За 9 месяцев 2017 года  </t>
    </r>
    <r>
      <rPr>
        <b/>
        <i/>
        <sz val="10"/>
        <rFont val="Times New Roman Cyr"/>
        <charset val="204"/>
      </rPr>
      <t xml:space="preserve">снесен </t>
    </r>
    <r>
      <rPr>
        <i/>
        <sz val="10"/>
        <rFont val="Times New Roman Cyr"/>
        <family val="1"/>
        <charset val="204"/>
      </rPr>
      <t>1 МКД по ул.Ленина д.44 общей S=</t>
    </r>
    <r>
      <rPr>
        <b/>
        <i/>
        <sz val="10"/>
        <rFont val="Times New Roman Cyr"/>
        <charset val="204"/>
      </rPr>
      <t xml:space="preserve"> 368,5 м2</t>
    </r>
    <r>
      <rPr>
        <i/>
        <sz val="10"/>
        <rFont val="Times New Roman Cyr"/>
        <family val="1"/>
        <charset val="204"/>
      </rPr>
      <t xml:space="preserve">. </t>
    </r>
    <r>
      <rPr>
        <i/>
        <u/>
        <sz val="10"/>
        <rFont val="Times New Roman Cyr"/>
        <charset val="204"/>
      </rPr>
      <t>До конца 2017 года</t>
    </r>
    <r>
      <rPr>
        <i/>
        <sz val="10"/>
        <rFont val="Times New Roman Cyr"/>
        <family val="1"/>
        <charset val="204"/>
      </rPr>
      <t xml:space="preserve"> ожидается  </t>
    </r>
    <r>
      <rPr>
        <b/>
        <i/>
        <sz val="10"/>
        <rFont val="Times New Roman Cyr"/>
        <charset val="204"/>
      </rPr>
      <t xml:space="preserve">снести </t>
    </r>
    <r>
      <rPr>
        <i/>
        <sz val="10"/>
        <rFont val="Times New Roman Cyr"/>
        <family val="1"/>
        <charset val="204"/>
      </rPr>
      <t xml:space="preserve"> 6 МКД общей площадью </t>
    </r>
    <r>
      <rPr>
        <b/>
        <i/>
        <sz val="10"/>
        <rFont val="Times New Roman Cyr"/>
        <charset val="204"/>
      </rPr>
      <t xml:space="preserve">2872,5 </t>
    </r>
    <r>
      <rPr>
        <i/>
        <sz val="10"/>
        <rFont val="Times New Roman Cyr"/>
        <family val="1"/>
        <charset val="204"/>
      </rPr>
      <t xml:space="preserve">кв.м2 (ул. Бондарная д.17 (582,0 м2), ул.Ленина д.46А (590,5м2), ул. Ленина д.56 (771,4 м2), ул.Меньшикова д.6А (586,5 м2), ул. Смидовича д.35А (84,4 м2), ул.Юбилейная 22А (257,7м2)) и </t>
    </r>
    <r>
      <rPr>
        <b/>
        <i/>
        <sz val="10"/>
        <rFont val="Times New Roman Cyr"/>
        <charset val="204"/>
      </rPr>
      <t>ввести</t>
    </r>
    <r>
      <rPr>
        <i/>
        <sz val="10"/>
        <rFont val="Times New Roman Cyr"/>
        <family val="1"/>
        <charset val="204"/>
      </rPr>
      <t xml:space="preserve"> в эксплуатацию 1 МКД по ул. Полярной общей S= </t>
    </r>
    <r>
      <rPr>
        <b/>
        <i/>
        <sz val="10"/>
        <rFont val="Times New Roman Cyr"/>
        <charset val="204"/>
      </rPr>
      <t>3591,1</t>
    </r>
    <r>
      <rPr>
        <i/>
        <sz val="10"/>
        <rFont val="Times New Roman Cyr"/>
        <family val="1"/>
        <charset val="204"/>
      </rPr>
      <t xml:space="preserve"> м2 и 1 МКД по  ул.Тыко-Вылко (60 кв.) общей S=</t>
    </r>
    <r>
      <rPr>
        <b/>
        <i/>
        <sz val="10"/>
        <rFont val="Times New Roman Cyr"/>
        <charset val="204"/>
      </rPr>
      <t>5515,76</t>
    </r>
    <r>
      <rPr>
        <i/>
        <sz val="10"/>
        <rFont val="Times New Roman Cyr"/>
        <family val="1"/>
        <charset val="204"/>
      </rPr>
      <t xml:space="preserve"> м2.</t>
    </r>
    <r>
      <rPr>
        <i/>
        <u/>
        <sz val="10"/>
        <rFont val="Times New Roman Cyr"/>
        <charset val="204"/>
      </rPr>
      <t xml:space="preserve"> В 2018 году</t>
    </r>
    <r>
      <rPr>
        <i/>
        <sz val="10"/>
        <rFont val="Times New Roman Cyr"/>
        <family val="1"/>
        <charset val="204"/>
      </rPr>
      <t xml:space="preserve"> планируется </t>
    </r>
    <r>
      <rPr>
        <b/>
        <i/>
        <sz val="10"/>
        <rFont val="Times New Roman Cyr"/>
        <charset val="204"/>
      </rPr>
      <t>снести</t>
    </r>
    <r>
      <rPr>
        <i/>
        <sz val="10"/>
        <rFont val="Times New Roman Cyr"/>
        <family val="1"/>
        <charset val="204"/>
      </rPr>
      <t xml:space="preserve"> 9 МКД общей S=</t>
    </r>
    <r>
      <rPr>
        <b/>
        <i/>
        <sz val="10"/>
        <rFont val="Times New Roman Cyr"/>
        <charset val="204"/>
      </rPr>
      <t xml:space="preserve">3460,5 </t>
    </r>
    <r>
      <rPr>
        <i/>
        <sz val="10"/>
        <rFont val="Times New Roman Cyr"/>
        <charset val="204"/>
      </rPr>
      <t>м</t>
    </r>
    <r>
      <rPr>
        <i/>
        <sz val="10"/>
        <rFont val="Times New Roman Cyr"/>
        <family val="1"/>
        <charset val="204"/>
      </rPr>
      <t xml:space="preserve">2, </t>
    </r>
    <r>
      <rPr>
        <b/>
        <i/>
        <sz val="10"/>
        <rFont val="Times New Roman Cyr"/>
        <charset val="204"/>
      </rPr>
      <t>ввести</t>
    </r>
    <r>
      <rPr>
        <i/>
        <sz val="10"/>
        <rFont val="Times New Roman Cyr"/>
        <family val="1"/>
        <charset val="204"/>
      </rPr>
      <t xml:space="preserve"> в эксплуатацию 6 МКД общей S=</t>
    </r>
    <r>
      <rPr>
        <b/>
        <i/>
        <sz val="10"/>
        <rFont val="Times New Roman Cyr"/>
        <charset val="204"/>
      </rPr>
      <t>34 908,6</t>
    </r>
    <r>
      <rPr>
        <i/>
        <sz val="10"/>
        <rFont val="Times New Roman Cyr"/>
        <family val="1"/>
        <charset val="204"/>
      </rPr>
      <t xml:space="preserve"> м2., в т.ч. 1 МКД по ул. Ленина (5398,4м2), 1 МКД по ул.Авиаторов (10 секций)(19599,4 м2), 1 МКД по ул.Пионерской (75кв.)(3417,8 м2), 1 МКД по ул. Пионерской (23 кв.) (1720,66 м2),  1 МКД по ул. Пионерской (23 кв.) (986,76 м2), 1 МКД по ул.Первомайской  (48кв.) (3785,58 м2). </t>
    </r>
    <r>
      <rPr>
        <i/>
        <u/>
        <sz val="10"/>
        <rFont val="Times New Roman Cyr"/>
        <charset val="204"/>
      </rPr>
      <t xml:space="preserve"> В 2019 году </t>
    </r>
    <r>
      <rPr>
        <i/>
        <sz val="10"/>
        <rFont val="Times New Roman Cyr"/>
        <family val="1"/>
        <charset val="204"/>
      </rPr>
      <t xml:space="preserve">планируется  </t>
    </r>
    <r>
      <rPr>
        <b/>
        <i/>
        <sz val="10"/>
        <rFont val="Times New Roman Cyr"/>
        <charset val="204"/>
      </rPr>
      <t xml:space="preserve">снести </t>
    </r>
    <r>
      <rPr>
        <i/>
        <sz val="10"/>
        <rFont val="Times New Roman Cyr"/>
        <family val="1"/>
        <charset val="204"/>
      </rPr>
      <t xml:space="preserve"> 8 МКД общей площадью 3111,4м2 и </t>
    </r>
    <r>
      <rPr>
        <b/>
        <i/>
        <sz val="10"/>
        <rFont val="Times New Roman Cyr"/>
        <charset val="204"/>
      </rPr>
      <t>ввести</t>
    </r>
    <r>
      <rPr>
        <i/>
        <sz val="10"/>
        <rFont val="Times New Roman Cyr"/>
        <family val="1"/>
        <charset val="204"/>
      </rPr>
      <t xml:space="preserve"> в эксплуатацию 1 МКД по ул. Первомайской общей S= </t>
    </r>
    <r>
      <rPr>
        <b/>
        <i/>
        <sz val="10"/>
        <rFont val="Times New Roman Cyr"/>
        <charset val="204"/>
      </rPr>
      <t>2555,0</t>
    </r>
    <r>
      <rPr>
        <i/>
        <sz val="10"/>
        <rFont val="Times New Roman Cyr"/>
        <family val="1"/>
        <charset val="204"/>
      </rPr>
      <t xml:space="preserve"> м2.</t>
    </r>
    <r>
      <rPr>
        <i/>
        <u/>
        <sz val="10"/>
        <rFont val="Times New Roman Cyr"/>
        <charset val="204"/>
      </rPr>
      <t xml:space="preserve">В 2020 году </t>
    </r>
    <r>
      <rPr>
        <i/>
        <sz val="10"/>
        <rFont val="Times New Roman Cyr"/>
        <family val="1"/>
        <charset val="204"/>
      </rPr>
      <t xml:space="preserve">планируется  </t>
    </r>
    <r>
      <rPr>
        <b/>
        <i/>
        <sz val="10"/>
        <rFont val="Times New Roman Cyr"/>
        <charset val="204"/>
      </rPr>
      <t>снести</t>
    </r>
    <r>
      <rPr>
        <i/>
        <sz val="10"/>
        <rFont val="Times New Roman Cyr"/>
        <family val="1"/>
        <charset val="204"/>
      </rPr>
      <t xml:space="preserve">  4 МКД общей площадью 1257,5м2. </t>
    </r>
  </si>
  <si>
    <r>
      <t xml:space="preserve">По состоянию на 31.12.2016 в МО числится 401 многоквартирный дом общей жилой площадью 492 182,1 м2. </t>
    </r>
    <r>
      <rPr>
        <i/>
        <u/>
        <sz val="10"/>
        <rFont val="Times New Roman Cyr"/>
        <charset val="204"/>
      </rPr>
      <t xml:space="preserve">За 9 месяцев 2017 года  </t>
    </r>
    <r>
      <rPr>
        <i/>
        <sz val="10"/>
        <rFont val="Times New Roman Cyr"/>
        <family val="1"/>
        <charset val="204"/>
      </rPr>
      <t>снесен 1 МКД по ул.Ленина д.44 общей S=</t>
    </r>
    <r>
      <rPr>
        <b/>
        <i/>
        <sz val="10"/>
        <rFont val="Times New Roman Cyr"/>
        <charset val="204"/>
      </rPr>
      <t xml:space="preserve"> 368,5</t>
    </r>
    <r>
      <rPr>
        <i/>
        <sz val="10"/>
        <rFont val="Times New Roman Cyr"/>
        <family val="1"/>
        <charset val="204"/>
      </rPr>
      <t xml:space="preserve"> м2. </t>
    </r>
    <r>
      <rPr>
        <i/>
        <u/>
        <sz val="10"/>
        <rFont val="Times New Roman Cyr"/>
        <charset val="204"/>
      </rPr>
      <t>До конца 2017 года</t>
    </r>
    <r>
      <rPr>
        <i/>
        <sz val="10"/>
        <rFont val="Times New Roman Cyr"/>
        <family val="1"/>
        <charset val="204"/>
      </rPr>
      <t xml:space="preserve"> ожидается  снести  6 МКД общей площадью</t>
    </r>
    <r>
      <rPr>
        <b/>
        <i/>
        <sz val="10"/>
        <rFont val="Times New Roman Cyr"/>
        <charset val="204"/>
      </rPr>
      <t xml:space="preserve"> 2872,5</t>
    </r>
    <r>
      <rPr>
        <i/>
        <sz val="10"/>
        <rFont val="Times New Roman Cyr"/>
        <family val="1"/>
        <charset val="204"/>
      </rPr>
      <t xml:space="preserve"> кв.м2 (ул. Бондарная д.17 (582,0 м2), ул.Ленина д.46А (590,5м2), ул. Ленина д.56 (771,4 м2), ул.Меньшикова д.6А (586,5 м2), ул. Смидовича д.35А (84,4 м2), ул.Юбилейная 22А (257,7м2)) и ввести в эксплуатацию 1 МКД по ул. Полярной общей S= </t>
    </r>
    <r>
      <rPr>
        <b/>
        <i/>
        <sz val="10"/>
        <rFont val="Times New Roman Cyr"/>
        <charset val="204"/>
      </rPr>
      <t>3591,1 м2</t>
    </r>
    <r>
      <rPr>
        <i/>
        <sz val="10"/>
        <rFont val="Times New Roman Cyr"/>
        <family val="1"/>
        <charset val="204"/>
      </rPr>
      <t xml:space="preserve"> и 1 МКД по  ул.Тыко-Вылко (60 кв.) общей S=</t>
    </r>
    <r>
      <rPr>
        <b/>
        <i/>
        <sz val="10"/>
        <rFont val="Times New Roman Cyr"/>
        <charset val="204"/>
      </rPr>
      <t xml:space="preserve">5515,76 </t>
    </r>
    <r>
      <rPr>
        <i/>
        <sz val="10"/>
        <rFont val="Times New Roman Cyr"/>
        <family val="1"/>
        <charset val="204"/>
      </rPr>
      <t>м2.</t>
    </r>
    <r>
      <rPr>
        <i/>
        <u/>
        <sz val="10"/>
        <rFont val="Times New Roman Cyr"/>
        <charset val="204"/>
      </rPr>
      <t xml:space="preserve"> В 2018 году</t>
    </r>
    <r>
      <rPr>
        <i/>
        <sz val="10"/>
        <rFont val="Times New Roman Cyr"/>
        <family val="1"/>
        <charset val="204"/>
      </rPr>
      <t xml:space="preserve"> планируется снести 9 МКД общей S=</t>
    </r>
    <r>
      <rPr>
        <b/>
        <i/>
        <sz val="10"/>
        <rFont val="Times New Roman Cyr"/>
        <charset val="204"/>
      </rPr>
      <t xml:space="preserve">3460,5 </t>
    </r>
    <r>
      <rPr>
        <i/>
        <sz val="10"/>
        <rFont val="Times New Roman Cyr"/>
        <family val="1"/>
        <charset val="204"/>
      </rPr>
      <t>м2, ввести в эксплуатацию 6 МКД общей S=</t>
    </r>
    <r>
      <rPr>
        <b/>
        <i/>
        <sz val="10"/>
        <rFont val="Times New Roman Cyr"/>
        <charset val="204"/>
      </rPr>
      <t xml:space="preserve">34 908,6 </t>
    </r>
    <r>
      <rPr>
        <i/>
        <sz val="10"/>
        <rFont val="Times New Roman Cyr"/>
        <family val="1"/>
        <charset val="204"/>
      </rPr>
      <t xml:space="preserve">м2., в т.ч. 1 МКД по ул. Ленина (5398,4м2), 1 МКД по ул.Авиаторов (10 секций)(19599,4 м2), 1 МКД по ул.Пионерской (75кв.)(3417,8 м2), 1 МКД по ул. Пионерской (23 кв.) (1720,66 м2),  1 МКД по ул. Пионерской (23 кв.) (986,76 м2), 1 МКД по ул.Первомайской  (48кв.) (3785,58 м2). </t>
    </r>
    <r>
      <rPr>
        <i/>
        <u/>
        <sz val="10"/>
        <rFont val="Times New Roman Cyr"/>
        <charset val="204"/>
      </rPr>
      <t xml:space="preserve"> В 2019 году </t>
    </r>
    <r>
      <rPr>
        <i/>
        <sz val="10"/>
        <rFont val="Times New Roman Cyr"/>
        <family val="1"/>
        <charset val="204"/>
      </rPr>
      <t xml:space="preserve">планируется  снести  8 МКД общей площадью </t>
    </r>
    <r>
      <rPr>
        <b/>
        <i/>
        <sz val="10"/>
        <rFont val="Times New Roman Cyr"/>
        <charset val="204"/>
      </rPr>
      <t>3111,4</t>
    </r>
    <r>
      <rPr>
        <i/>
        <sz val="10"/>
        <rFont val="Times New Roman Cyr"/>
        <family val="1"/>
        <charset val="204"/>
      </rPr>
      <t xml:space="preserve">м2 и ввести в эксплуатацию 1 МКД по ул. Первомайской общей S= </t>
    </r>
    <r>
      <rPr>
        <b/>
        <i/>
        <sz val="10"/>
        <rFont val="Times New Roman Cyr"/>
        <charset val="204"/>
      </rPr>
      <t>2555,0</t>
    </r>
    <r>
      <rPr>
        <i/>
        <sz val="10"/>
        <rFont val="Times New Roman Cyr"/>
        <family val="1"/>
        <charset val="204"/>
      </rPr>
      <t xml:space="preserve"> м2.</t>
    </r>
    <r>
      <rPr>
        <i/>
        <u/>
        <sz val="10"/>
        <rFont val="Times New Roman Cyr"/>
        <charset val="204"/>
      </rPr>
      <t xml:space="preserve">В 2020 году </t>
    </r>
    <r>
      <rPr>
        <i/>
        <sz val="10"/>
        <rFont val="Times New Roman Cyr"/>
        <family val="1"/>
        <charset val="204"/>
      </rPr>
      <t xml:space="preserve">планируется  снести  4 МКД общей площадью 1257,5м2. </t>
    </r>
  </si>
  <si>
    <t xml:space="preserve"> Уточнен показатель за 2016 год. В 2017 году ожидается  снести  7 МКД общей площадью 3 241,0 кв.м2, ввести в эксплуатацию 2 МКД общей S= 8 106,86 м2, В 2018 году планируется  снести  9 МКД общей площадью 3460,5 кв.м, ввести в эксплуатацию 6 МКД общей S= 34 908,6 м2. В 2019 году планируется  снести  8 МКД общей площадью 3111,4  кв.м, ввести в эксплуатацию 1 МКД общей S= 2 555,0 м2. В 2020 году планируется  снести  4 МКД общей площадью 1257,5 кв.м. По данным Департамента строит-ва, ЖКХ, энергетики и транспорта  НАО ожидается ежегодно вводить по 10 тыс.м2 жилой S в ИЖД. Объем строительства в 2019 - 2020 годах снижается за счет расселения в дома, сданные в эксплуатацию в 2018 году, и сноса старого жилфонда.</t>
  </si>
  <si>
    <r>
      <t xml:space="preserve">По состоянию на 31.12.2016 в МО числится 401 многоквартирный дом общей жилой площадью 492 182,1 м2,  6 общежитий общей жилой площадью 5063,12 м2, 827 индивидуальных жилых домов общей жилой площадью 113 822,0 м2. </t>
    </r>
    <r>
      <rPr>
        <u/>
        <sz val="10"/>
        <rFont val="Times New Roman Cyr"/>
        <charset val="204"/>
      </rPr>
      <t xml:space="preserve">За 9 месяцев 2017 года  </t>
    </r>
    <r>
      <rPr>
        <sz val="10"/>
        <rFont val="Times New Roman Cyr"/>
        <family val="1"/>
        <charset val="204"/>
      </rPr>
      <t xml:space="preserve">снесен 1 МКД по ул.Ленина д.44 общей S= 368,5 м2. </t>
    </r>
    <r>
      <rPr>
        <u/>
        <sz val="10"/>
        <rFont val="Times New Roman Cyr"/>
        <charset val="204"/>
      </rPr>
      <t>До конца 2017 года</t>
    </r>
    <r>
      <rPr>
        <sz val="10"/>
        <rFont val="Times New Roman Cyr"/>
        <family val="1"/>
        <charset val="204"/>
      </rPr>
      <t xml:space="preserve"> ожидается  снести  6 МКД общей площадью </t>
    </r>
    <r>
      <rPr>
        <sz val="10"/>
        <rFont val="Times New Roman Cyr"/>
        <charset val="204"/>
      </rPr>
      <t>2872,5</t>
    </r>
    <r>
      <rPr>
        <sz val="10"/>
        <rFont val="Times New Roman Cyr"/>
        <family val="1"/>
        <charset val="204"/>
      </rPr>
      <t xml:space="preserve"> кв.м2 (ул. Бондарная д.17 (582,0 м2), ул.Ленина д.46А (590,5м2), ул. Ленина д.56 (771,4 м2), ул.Меньшикова д.6А (586,5 м2), ул. Смидовича д.35А (84,4 м2), ул.Юбилейная 22А (257,7м2)) и ввести в эксплуатацию 1 МКД по ул. Полярной общей S= 3591,1 м2 и 1 МКД по  ул.Тыко-Вылко (60 кв.) общей S=5515,76 м2.</t>
    </r>
    <r>
      <rPr>
        <u/>
        <sz val="10"/>
        <rFont val="Times New Roman Cyr"/>
        <charset val="204"/>
      </rPr>
      <t xml:space="preserve"> В 2018 году</t>
    </r>
    <r>
      <rPr>
        <sz val="10"/>
        <rFont val="Times New Roman Cyr"/>
        <family val="1"/>
        <charset val="204"/>
      </rPr>
      <t xml:space="preserve"> планируется снести 9 МКД общей S=3460,5</t>
    </r>
    <r>
      <rPr>
        <sz val="10"/>
        <rFont val="Times New Roman Cyr"/>
        <charset val="204"/>
      </rPr>
      <t xml:space="preserve"> м</t>
    </r>
    <r>
      <rPr>
        <sz val="10"/>
        <rFont val="Times New Roman Cyr"/>
        <family val="1"/>
        <charset val="204"/>
      </rPr>
      <t xml:space="preserve">2, ввести в эксплуатацию 6 МКД общей S=34 908,6 м2., в т.ч. 1 МКД по ул. Ленина (5398,4м2), 1 МКД по ул.Авиаторов (10 секций)(19599,4 м2), 1 МКД по ул.Пионерской (75кв.)(3417,8 м2), 1 МКД по ул. Пионерской (23 кв.) (1720,66 м2),  1 МКД по ул. Пионерской (23 кв.) (986,76 м2), 1 МКД по ул.Первомайской  (48кв.) (3785,58 м2). </t>
    </r>
    <r>
      <rPr>
        <u/>
        <sz val="10"/>
        <rFont val="Times New Roman Cyr"/>
        <charset val="204"/>
      </rPr>
      <t xml:space="preserve"> В 2019 году </t>
    </r>
    <r>
      <rPr>
        <sz val="10"/>
        <rFont val="Times New Roman Cyr"/>
        <family val="1"/>
        <charset val="204"/>
      </rPr>
      <t xml:space="preserve">планируется  снести  8 МКД общей площадью 3111,4 </t>
    </r>
    <r>
      <rPr>
        <sz val="10"/>
        <color rgb="FFFF0000"/>
        <rFont val="Times New Roman Cyr"/>
        <charset val="204"/>
      </rPr>
      <t xml:space="preserve"> </t>
    </r>
    <r>
      <rPr>
        <sz val="10"/>
        <rFont val="Times New Roman Cyr"/>
        <family val="1"/>
        <charset val="204"/>
      </rPr>
      <t>кв.м и ввести в эксплуатацию 1 МКД по ул. Первомайской общей S= 2555,0 м2.</t>
    </r>
    <r>
      <rPr>
        <u/>
        <sz val="10"/>
        <rFont val="Times New Roman Cyr"/>
        <charset val="204"/>
      </rPr>
      <t xml:space="preserve">В 2020 году </t>
    </r>
    <r>
      <rPr>
        <sz val="10"/>
        <rFont val="Times New Roman Cyr"/>
        <family val="1"/>
        <charset val="204"/>
      </rPr>
      <t>планируется  снести  4 МКД общей площадью 1257,5 кв.м2. По данным Департамента строит-ва, ЖКХ, энергетики и транспорта  НАО ожидается ежегодно вводить по 10 тыс.м2 жилой S в ИЖД</t>
    </r>
  </si>
  <si>
    <t xml:space="preserve">По состоянию на 31.12.2016 в МО числится 401 многоквартирный дом , 827 индивидуальных жилых домов, 6 общежитий . За 9 месяцев 2017 года  снесен 1 МКД по ул.Ленина д.44. До конца 2017 года планируется ввести в эксплуатацию 2 МКД (по ул. Полярной и ул.Тыко-Вылко) и снести 6 МКД. По данным Департамента строит-ва, ЖКХ, энергетики и транспорта  НАО: планируется  в 2018 году ввести в эксплуатацию 6 МКД (1 МКД по ул. Ленина, 1 МКД по ул.Авиаторов, 3 МКД по ул.Пионерской, 1 МКД по ул.Первомайской) и снести 9 МКД; в 2019 году ввести 1 МКД по ул.Первомайской и снести 8 МКД;, в 2020 году снести 4 МКД </t>
  </si>
  <si>
    <t>По состоянию на 31.12.2016 в МО числится  827 индивидуальных жилых домов общей жилой площадью 113 822,0 м2. По данным Департамента строит-ва, ЖКХ, энергетики и транспорта  НАО ожидается ежегодно вводить по 10 тыс.м2 жилой S в ИЖД</t>
  </si>
  <si>
    <t>В 2016 году  увеличена общая площадь ИЖД за счет уточнения по результатам инвентаризации на 24 255,23 м2 .По данным Департамента строит-ва, ЖКХ, энергетики и транспорта  НАО ожидается ежегодно вводить по 10 тыс.м2 жилой S в ИЖД</t>
  </si>
  <si>
    <t xml:space="preserve">Показатель за 2017 год вырос по сравнению с 2016 годом в связи сожидаемым  вводом в эксплуатацию в 2017 году двух новых МКД общей жилой площадью 8 106,86 м2 и сносом 7 МКД лбщей жилой S=3 241,0 м2. В 2018 году планируется значительный рост показателя в связи с вводом в эксплуатацию 6 МКД общей S=34 908,6 м2 и сносом 9 МКД общей S=3 460,5 м2.  В 2019 году планируется  снести  8 МКД общей площадью 3111,4 м2 и ввести в эксплуатацию 1 МКД  общей S= 2555,0 м2.В 2020 году планируется  снести  4 МКД общей площадью 1 257,5 кв.м2. По данным Департамента строит-ва, ЖКХ, энергетики и транспорта  НАО ожидается ежегодно вводить по 10 тыс.м2 жилой S в ИЖД. </t>
  </si>
  <si>
    <t>1902,9***</t>
  </si>
  <si>
    <t>*** - за 2015 год</t>
  </si>
  <si>
    <r>
      <t xml:space="preserve"> За 9 мес.2017 года</t>
    </r>
    <r>
      <rPr>
        <b/>
        <sz val="10"/>
        <rFont val="Times New Roman Cyr"/>
        <charset val="204"/>
      </rPr>
      <t xml:space="preserve"> 2 </t>
    </r>
    <r>
      <rPr>
        <sz val="10"/>
        <rFont val="Times New Roman Cyr"/>
        <charset val="204"/>
      </rPr>
      <t>семьи получили жилюпомещения по дог.соц.найма, 217 семей самостоятельно улучшили жил.условия,</t>
    </r>
    <r>
      <rPr>
        <b/>
        <sz val="10"/>
        <rFont val="Times New Roman Cyr"/>
        <charset val="204"/>
      </rPr>
      <t xml:space="preserve">129 </t>
    </r>
    <r>
      <rPr>
        <sz val="10"/>
        <rFont val="Times New Roman Cyr"/>
        <charset val="204"/>
      </rPr>
      <t>семей получили новое жилье в рамках программы "Переселение граждан из жилищного фонда, признанного непригодным для проживания и/или с высоким уровнем износа". Прогнозные данные не указаны  так как с 2016 года полномочия по строительству жилья переданы в субъект Федерации.</t>
    </r>
  </si>
  <si>
    <r>
      <t xml:space="preserve">По состоянию на 30.09.2017 на учете граждан, нуждающихся в жил.помещениях по договорам соц. найма стоит </t>
    </r>
    <r>
      <rPr>
        <b/>
        <sz val="10"/>
        <rFont val="Times New Roman Cyr"/>
        <charset val="204"/>
      </rPr>
      <t>1 150</t>
    </r>
    <r>
      <rPr>
        <sz val="10"/>
        <rFont val="Times New Roman Cyr"/>
        <family val="1"/>
        <charset val="204"/>
      </rPr>
      <t xml:space="preserve"> семьи и в рамках программы "Переселение граждан из жилищного фонда, признанного непригодным для проживания и/или с высоким уровнем износа" стоит </t>
    </r>
    <r>
      <rPr>
        <b/>
        <sz val="10"/>
        <rFont val="Times New Roman Cyr"/>
        <charset val="204"/>
      </rPr>
      <t xml:space="preserve">941 </t>
    </r>
    <r>
      <rPr>
        <sz val="10"/>
        <rFont val="Times New Roman Cyr"/>
        <family val="1"/>
        <charset val="204"/>
      </rPr>
      <t xml:space="preserve">семья. За 9 мес.2017 года получили новые квартиры 131 семья, с учёта снято 217 семей, принято на учёт 298 семей (за 2016 год получили новые квартиры 68 семей, с учёта снято 258 семей, принято на учёт 75 семей). </t>
    </r>
  </si>
  <si>
    <t>Показатель за 2017 год указан по данным МИФНС России по НАО № 4. Пояснений о снижении показателя за 9 месяцев 2017 года по сравнению с 2016 годом МИФНС №4 не предоставлено.</t>
  </si>
  <si>
    <t xml:space="preserve"> Протяженность мун.дорог по состоянию на 30.09.2017 составляет 43,541  км.  из них отвечают нормативным требованиям 6,679 км по 12 дорогам: пр.Матросова - 0,348 км, ул. Чернова - 0,415 км, ул. Ненецкая -0,665 км, ул. Победы - 0,262 км, ул. Пырерка - 0,512 км, ул. Рыбников - 0,859 км, ул. Тыко-Вылко - 0,500 км. ул. Пионерская - 0,428 км., а также введенные в эксплуатацию в 2016 году новые дороги по:ул. Сущинского - 0,71 км.; ул. Швецова - 0,606 км.; ул. Полярная-ул. Рыбников - 0,889 км.;  ул. Рыбников-ЦОС - 0,485км.  Не отвечает нормативным требованиям 84,6% автомобильных дорог общего пользования местного значения, что составляет 36,8 км.
Показатель не изменится в 2017 году в связи с отсутствием мероприятий в муниципальных программах,направленных на улучшение состояния существующих муниципальных дорог. В 2018 году перейдет в разряд дорог соответствующих нормативным требованиям дорога по ул. Российская протяженностью 1,119 км. В 2019 году планируется выполнить реконструкцию дороги по ул.Авиаторов протяженностью 1,012 км и площадью реконструируенмого полотна 7 084 м2.  В 2020 г.  планируетсяпроведение работ по реконструкции существующих автомобильных дорог общего пользования местного значения в рамках МП "Развитие транспортной системы".(ул. Смидовича - ул. Ленина, ул. Пионерская, ул. Меньшикова, ул. Южная, ул. Студенческая, М-н Качгорт, ул. Сапрыгина, ул. Пионерская, ул. Совхозная, ул. Заводская и п. Новый.) общей протяженностью 3,62 км</t>
  </si>
  <si>
    <t xml:space="preserve"> Предварительные итоги социально-экономического развития города Нарьян-Мара за 9 месяцев 2017 года и ожидаемые итоги социально-экономического развития города Нарьян-Мара за 2017 год</t>
  </si>
  <si>
    <t xml:space="preserve">Показатель за 2017 год увеличился по сравнению с 2016 годом в связи с выделением из окружного бюджета дополнительных межбюджетных трансфертов на проведение мероприятий. При этом размер собственных налоговых и неналоговых доходов местного бюджета снизился по причине снижения поступлений налога на доходы физических лиц (НДФЛ).
Прогнозный показатель размера  доходов местного бюджета на 2018 – 2020 годы установлен с учетом снижения размера межбюджетных трансфертов.
</t>
  </si>
  <si>
    <t xml:space="preserve"> Управлением федеральной службы государственной статистики по Архангельской области и НАО данные не формируются в соответствии с утвержденным планом статистических работ. Прогнозные показатели на 2017 – 2020 годы сформированы с учетом ежегодной динамики роста индекса потребительских цен</t>
  </si>
  <si>
    <t xml:space="preserve"> Управлением федеральной службы государственной статистики по Архангельской области и НАО данные не формируются в соответствии с утвержденным планом статистических работ.</t>
  </si>
  <si>
    <t>в соответствии с постановлением Администрации Ненецкого автономного округа № 316-п от 18 октября 2017 года за 3 квартал 2017 года прожиточный минимум составил 21 049 рублей. На плановый период определен расчетным путем с учетом изменения индекса потребительских цен</t>
  </si>
  <si>
    <t>0,1**</t>
  </si>
</sst>
</file>

<file path=xl/styles.xml><?xml version="1.0" encoding="utf-8"?>
<styleSheet xmlns="http://schemas.openxmlformats.org/spreadsheetml/2006/main">
  <numFmts count="10">
    <numFmt numFmtId="165" formatCode="0.0"/>
    <numFmt numFmtId="166" formatCode="_(* #,##0.00_);_(* \(#,##0.00\);_(* &quot;-&quot;??_);_(@_)"/>
    <numFmt numFmtId="167" formatCode="0.0%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#,##0.000"/>
    <numFmt numFmtId="174" formatCode="_-* #,##0.000_р_._-;\-* #,##0.000_р_._-;_-* &quot;-&quot;?_р_._-;_-@_-"/>
    <numFmt numFmtId="175" formatCode="_(* #,##0.000_);_(* \(#,##0.000\);_(* &quot;-&quot;??_);_(@_)"/>
  </numFmts>
  <fonts count="32">
    <font>
      <sz val="10"/>
      <name val="Arial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 CYR"/>
      <family val="1"/>
      <charset val="204"/>
    </font>
    <font>
      <i/>
      <u/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color rgb="FFFF0000"/>
      <name val="Times New Roman CYR"/>
      <charset val="204"/>
    </font>
    <font>
      <b/>
      <sz val="10"/>
      <name val="Times New Roman Cyr"/>
      <charset val="204"/>
    </font>
    <font>
      <b/>
      <sz val="11"/>
      <color rgb="FFFF000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</font>
    <font>
      <sz val="11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 Cyr"/>
      <charset val="204"/>
    </font>
    <font>
      <sz val="10"/>
      <color rgb="FFFF0000"/>
      <name val="Times New Roman Cyr"/>
      <charset val="204"/>
    </font>
    <font>
      <u/>
      <sz val="10"/>
      <name val="Times New Roman Cyr"/>
      <charset val="204"/>
    </font>
    <font>
      <i/>
      <sz val="11"/>
      <name val="Times New Roman"/>
      <family val="1"/>
      <charset val="204"/>
    </font>
    <font>
      <i/>
      <sz val="10"/>
      <name val="Times New Roman Cyr"/>
      <family val="1"/>
      <charset val="204"/>
    </font>
    <font>
      <i/>
      <u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9" fillId="0" borderId="0" xfId="0" applyFont="1" applyFill="1" applyBorder="1" applyAlignment="1">
      <alignment wrapText="1"/>
    </xf>
    <xf numFmtId="165" fontId="4" fillId="0" borderId="2" xfId="1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171" fontId="4" fillId="0" borderId="2" xfId="1" applyNumberFormat="1" applyFont="1" applyFill="1" applyBorder="1" applyAlignment="1">
      <alignment horizontal="center"/>
    </xf>
    <xf numFmtId="0" fontId="2" fillId="3" borderId="0" xfId="0" applyFont="1" applyFill="1"/>
    <xf numFmtId="0" fontId="27" fillId="2" borderId="0" xfId="0" applyFont="1" applyFill="1"/>
    <xf numFmtId="0" fontId="27" fillId="0" borderId="0" xfId="0" applyFont="1"/>
    <xf numFmtId="0" fontId="27" fillId="3" borderId="0" xfId="0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165" fontId="15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71" fontId="3" fillId="0" borderId="2" xfId="0" applyNumberFormat="1" applyFont="1" applyFill="1" applyBorder="1" applyAlignment="1">
      <alignment horizontal="center" vertical="top" wrapText="1"/>
    </xf>
    <xf numFmtId="171" fontId="3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justify" vertical="top" wrapText="1"/>
    </xf>
    <xf numFmtId="165" fontId="4" fillId="0" borderId="2" xfId="0" applyNumberFormat="1" applyFont="1" applyFill="1" applyBorder="1" applyAlignment="1">
      <alignment horizontal="center" wrapText="1"/>
    </xf>
    <xf numFmtId="171" fontId="4" fillId="0" borderId="2" xfId="1" applyNumberFormat="1" applyFont="1" applyFill="1" applyBorder="1" applyAlignment="1">
      <alignment horizontal="center" wrapText="1"/>
    </xf>
    <xf numFmtId="171" fontId="18" fillId="0" borderId="0" xfId="0" applyNumberFormat="1" applyFont="1" applyFill="1" applyAlignment="1"/>
    <xf numFmtId="0" fontId="2" fillId="0" borderId="0" xfId="0" applyFont="1" applyFill="1" applyAlignment="1"/>
    <xf numFmtId="165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167" fontId="4" fillId="0" borderId="0" xfId="2" applyNumberFormat="1" applyFont="1" applyFill="1" applyAlignment="1"/>
    <xf numFmtId="171" fontId="17" fillId="0" borderId="2" xfId="1" applyNumberFormat="1" applyFont="1" applyFill="1" applyBorder="1" applyAlignment="1">
      <alignment horizontal="center" wrapText="1"/>
    </xf>
    <xf numFmtId="165" fontId="17" fillId="0" borderId="2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justify" vertical="top" wrapText="1"/>
    </xf>
    <xf numFmtId="167" fontId="2" fillId="0" borderId="2" xfId="2" applyNumberFormat="1" applyFont="1" applyFill="1" applyBorder="1" applyAlignment="1">
      <alignment vertical="top" wrapText="1"/>
    </xf>
    <xf numFmtId="169" fontId="17" fillId="0" borderId="2" xfId="1" applyNumberFormat="1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 vertical="top" wrapText="1"/>
    </xf>
    <xf numFmtId="167" fontId="4" fillId="0" borderId="2" xfId="2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top"/>
    </xf>
    <xf numFmtId="168" fontId="4" fillId="0" borderId="2" xfId="1" applyNumberFormat="1" applyFont="1" applyFill="1" applyBorder="1" applyAlignment="1">
      <alignment horizontal="center"/>
    </xf>
    <xf numFmtId="171" fontId="17" fillId="0" borderId="2" xfId="1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71" fontId="7" fillId="0" borderId="2" xfId="0" applyNumberFormat="1" applyFont="1" applyFill="1" applyBorder="1" applyAlignment="1">
      <alignment horizontal="center"/>
    </xf>
    <xf numFmtId="172" fontId="7" fillId="0" borderId="7" xfId="0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center"/>
    </xf>
    <xf numFmtId="172" fontId="7" fillId="0" borderId="2" xfId="0" applyNumberFormat="1" applyFont="1" applyFill="1" applyBorder="1" applyAlignment="1">
      <alignment horizontal="center"/>
    </xf>
    <xf numFmtId="172" fontId="4" fillId="0" borderId="2" xfId="1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167" fontId="7" fillId="0" borderId="2" xfId="2" applyNumberFormat="1" applyFont="1" applyFill="1" applyBorder="1" applyAlignment="1">
      <alignment horizontal="center"/>
    </xf>
    <xf numFmtId="167" fontId="4" fillId="0" borderId="2" xfId="2" applyNumberFormat="1" applyFont="1" applyFill="1" applyBorder="1" applyAlignment="1">
      <alignment horizontal="center" wrapText="1"/>
    </xf>
    <xf numFmtId="169" fontId="7" fillId="0" borderId="2" xfId="1" applyNumberFormat="1" applyFont="1" applyFill="1" applyBorder="1" applyAlignment="1">
      <alignment horizontal="center" wrapText="1"/>
    </xf>
    <xf numFmtId="170" fontId="4" fillId="0" borderId="2" xfId="1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74" fontId="6" fillId="0" borderId="2" xfId="0" applyNumberFormat="1" applyFont="1" applyFill="1" applyBorder="1" applyAlignment="1">
      <alignment horizontal="center" wrapText="1"/>
    </xf>
    <xf numFmtId="175" fontId="6" fillId="0" borderId="2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/>
    </xf>
    <xf numFmtId="1" fontId="2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1" fontId="17" fillId="0" borderId="2" xfId="1" applyNumberFormat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12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center"/>
    </xf>
    <xf numFmtId="168" fontId="4" fillId="0" borderId="2" xfId="1" applyNumberFormat="1" applyFont="1" applyFill="1" applyBorder="1" applyAlignment="1">
      <alignment horizontal="center" wrapText="1"/>
    </xf>
    <xf numFmtId="168" fontId="17" fillId="0" borderId="2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vertical="top" wrapText="1"/>
    </xf>
    <xf numFmtId="167" fontId="9" fillId="0" borderId="0" xfId="2" applyNumberFormat="1" applyFont="1" applyFill="1" applyAlignment="1"/>
    <xf numFmtId="0" fontId="27" fillId="0" borderId="0" xfId="0" applyFont="1" applyFill="1"/>
    <xf numFmtId="0" fontId="27" fillId="0" borderId="2" xfId="0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center"/>
    </xf>
    <xf numFmtId="1" fontId="27" fillId="0" borderId="2" xfId="1" applyNumberFormat="1" applyFont="1" applyFill="1" applyBorder="1" applyAlignment="1">
      <alignment horizontal="center"/>
    </xf>
    <xf numFmtId="171" fontId="27" fillId="0" borderId="2" xfId="1" applyNumberFormat="1" applyFont="1" applyFill="1" applyBorder="1" applyAlignment="1">
      <alignment horizontal="center"/>
    </xf>
    <xf numFmtId="165" fontId="27" fillId="0" borderId="2" xfId="1" applyNumberFormat="1" applyFont="1" applyFill="1" applyBorder="1" applyAlignment="1">
      <alignment horizontal="center"/>
    </xf>
    <xf numFmtId="2" fontId="27" fillId="0" borderId="2" xfId="1" applyNumberFormat="1" applyFont="1" applyFill="1" applyBorder="1" applyAlignment="1">
      <alignment horizontal="center" wrapText="1"/>
    </xf>
    <xf numFmtId="165" fontId="27" fillId="0" borderId="2" xfId="1" applyNumberFormat="1" applyFont="1" applyFill="1" applyBorder="1" applyAlignment="1">
      <alignment horizontal="center" wrapText="1"/>
    </xf>
    <xf numFmtId="168" fontId="27" fillId="0" borderId="2" xfId="1" applyNumberFormat="1" applyFont="1" applyFill="1" applyBorder="1" applyAlignment="1">
      <alignment horizontal="center" wrapText="1"/>
    </xf>
    <xf numFmtId="168" fontId="27" fillId="0" borderId="2" xfId="0" applyNumberFormat="1" applyFont="1" applyFill="1" applyBorder="1" applyAlignment="1">
      <alignment horizontal="center"/>
    </xf>
    <xf numFmtId="168" fontId="27" fillId="0" borderId="2" xfId="1" applyNumberFormat="1" applyFont="1" applyFill="1" applyBorder="1" applyAlignment="1">
      <alignment horizontal="center"/>
    </xf>
    <xf numFmtId="167" fontId="27" fillId="0" borderId="0" xfId="2" applyNumberFormat="1" applyFont="1" applyFill="1" applyAlignment="1"/>
    <xf numFmtId="170" fontId="9" fillId="0" borderId="2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 wrapText="1"/>
    </xf>
    <xf numFmtId="4" fontId="30" fillId="0" borderId="2" xfId="0" applyNumberFormat="1" applyFont="1" applyFill="1" applyBorder="1" applyAlignment="1">
      <alignment horizontal="center"/>
    </xf>
    <xf numFmtId="168" fontId="9" fillId="0" borderId="2" xfId="1" applyNumberFormat="1" applyFont="1" applyFill="1" applyBorder="1" applyAlignment="1">
      <alignment horizontal="center" wrapText="1"/>
    </xf>
    <xf numFmtId="168" fontId="9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168" fontId="7" fillId="0" borderId="2" xfId="1" applyNumberFormat="1" applyFont="1" applyFill="1" applyBorder="1" applyAlignment="1">
      <alignment horizontal="center"/>
    </xf>
    <xf numFmtId="168" fontId="7" fillId="0" borderId="2" xfId="1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171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6" fontId="6" fillId="0" borderId="0" xfId="1" applyFont="1" applyFill="1" applyAlignment="1">
      <alignment horizontal="center"/>
    </xf>
    <xf numFmtId="167" fontId="2" fillId="0" borderId="0" xfId="2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" fontId="4" fillId="0" borderId="0" xfId="0" applyNumberFormat="1" applyFont="1" applyFill="1"/>
    <xf numFmtId="165" fontId="2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65" fontId="3" fillId="0" borderId="2" xfId="0" applyNumberFormat="1" applyFont="1" applyFill="1" applyBorder="1" applyAlignment="1">
      <alignment horizontal="center" wrapText="1"/>
    </xf>
    <xf numFmtId="165" fontId="14" fillId="0" borderId="2" xfId="0" applyNumberFormat="1" applyFont="1" applyFill="1" applyBorder="1" applyAlignment="1">
      <alignment horizontal="center" wrapText="1"/>
    </xf>
    <xf numFmtId="165" fontId="15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168" fontId="2" fillId="0" borderId="4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167" fontId="2" fillId="0" borderId="4" xfId="2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"/>
  <sheetViews>
    <sheetView tabSelected="1" view="pageBreakPreview" zoomScaleNormal="100" zoomScaleSheetLayoutView="100" workbookViewId="0">
      <pane xSplit="3" ySplit="9" topLeftCell="AB10" activePane="bottomRight" state="frozen"/>
      <selection pane="topRight" activeCell="D1" sqref="D1"/>
      <selection pane="bottomLeft" activeCell="A8" sqref="A8"/>
      <selection pane="bottomRight" activeCell="AE34" sqref="AE34"/>
    </sheetView>
  </sheetViews>
  <sheetFormatPr defaultRowHeight="15" outlineLevelRow="1" outlineLevelCol="1"/>
  <cols>
    <col min="1" max="1" width="5.85546875" style="20" customWidth="1"/>
    <col min="2" max="2" width="38.140625" style="149" customWidth="1"/>
    <col min="3" max="3" width="9" style="20" customWidth="1"/>
    <col min="4" max="4" width="11.42578125" style="16" hidden="1" customWidth="1" outlineLevel="1"/>
    <col min="5" max="5" width="11.7109375" style="16" hidden="1" customWidth="1" outlineLevel="1"/>
    <col min="6" max="7" width="10.5703125" style="16" hidden="1" customWidth="1" outlineLevel="1"/>
    <col min="8" max="8" width="11.7109375" style="16" hidden="1" customWidth="1" outlineLevel="1"/>
    <col min="9" max="9" width="11.7109375" style="16" hidden="1" customWidth="1" outlineLevel="1" collapsed="1"/>
    <col min="10" max="10" width="10.42578125" style="16" hidden="1" customWidth="1" outlineLevel="1"/>
    <col min="11" max="11" width="10.42578125" style="16" hidden="1" customWidth="1" outlineLevel="1" collapsed="1"/>
    <col min="12" max="12" width="12.140625" style="16" hidden="1" customWidth="1" outlineLevel="1"/>
    <col min="13" max="14" width="12.42578125" style="16" hidden="1" customWidth="1" outlineLevel="1"/>
    <col min="15" max="15" width="11.85546875" style="16" hidden="1" customWidth="1" outlineLevel="1"/>
    <col min="16" max="16" width="13" style="16" hidden="1" customWidth="1" outlineLevel="1"/>
    <col min="17" max="17" width="12.42578125" style="16" hidden="1" customWidth="1" outlineLevel="1"/>
    <col min="18" max="18" width="13.42578125" style="16" hidden="1" customWidth="1" outlineLevel="1"/>
    <col min="19" max="21" width="12.42578125" style="16" hidden="1" customWidth="1" outlineLevel="1"/>
    <col min="22" max="22" width="12.42578125" style="16" customWidth="1" collapsed="1"/>
    <col min="23" max="23" width="12.42578125" style="16" hidden="1" customWidth="1" outlineLevel="1"/>
    <col min="24" max="24" width="10.28515625" style="16" hidden="1" customWidth="1" outlineLevel="1"/>
    <col min="25" max="25" width="15" style="16" hidden="1" customWidth="1" outlineLevel="1"/>
    <col min="26" max="26" width="9.42578125" style="16" hidden="1" customWidth="1" outlineLevel="1"/>
    <col min="27" max="27" width="12.28515625" style="16" hidden="1" customWidth="1" outlineLevel="1"/>
    <col min="28" max="28" width="10.7109375" style="16" customWidth="1" collapsed="1"/>
    <col min="29" max="29" width="12.28515625" style="16" hidden="1" customWidth="1" outlineLevel="1"/>
    <col min="30" max="30" width="10.85546875" style="16" customWidth="1" collapsed="1"/>
    <col min="31" max="31" width="10.85546875" style="16" customWidth="1"/>
    <col min="32" max="33" width="10.7109375" style="16" customWidth="1"/>
    <col min="34" max="34" width="9.85546875" style="16" customWidth="1"/>
    <col min="35" max="35" width="81.140625" style="19" customWidth="1"/>
    <col min="36" max="36" width="9.140625" style="13"/>
    <col min="37" max="82" width="9.140625" style="14"/>
    <col min="83" max="16384" width="9.140625" style="1"/>
  </cols>
  <sheetData>
    <row r="1" spans="1:82" ht="45.75" customHeight="1" outlineLevel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  <c r="AI1" s="17" t="s">
        <v>175</v>
      </c>
    </row>
    <row r="2" spans="1:82" ht="17.25" customHeight="1">
      <c r="A2" s="12"/>
      <c r="B2" s="1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82" ht="36.75" hidden="1" customHeight="1" outlineLevel="1">
      <c r="A3" s="162" t="s">
        <v>220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3"/>
      <c r="AA3" s="163"/>
      <c r="AB3" s="163"/>
      <c r="AC3" s="163"/>
      <c r="AD3" s="163"/>
      <c r="AE3" s="163"/>
      <c r="AF3" s="18"/>
      <c r="AG3" s="18"/>
      <c r="AH3" s="18"/>
    </row>
    <row r="4" spans="1:82" ht="18.75" customHeight="1" collapsed="1">
      <c r="P4" s="167"/>
      <c r="Q4" s="168"/>
      <c r="R4" s="168"/>
      <c r="S4" s="168"/>
      <c r="T4" s="168"/>
      <c r="U4" s="168"/>
      <c r="V4" s="168"/>
      <c r="W4" s="168"/>
      <c r="X4" s="168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82" ht="15.75" customHeight="1">
      <c r="A5" s="169" t="s">
        <v>0</v>
      </c>
      <c r="B5" s="169" t="s">
        <v>1</v>
      </c>
      <c r="C5" s="169" t="s">
        <v>2</v>
      </c>
      <c r="D5" s="22" t="s">
        <v>3</v>
      </c>
      <c r="E5" s="22" t="s">
        <v>3</v>
      </c>
      <c r="F5" s="22" t="s">
        <v>3</v>
      </c>
      <c r="G5" s="22" t="s">
        <v>3</v>
      </c>
      <c r="H5" s="22" t="s">
        <v>3</v>
      </c>
      <c r="I5" s="22" t="s">
        <v>3</v>
      </c>
      <c r="J5" s="23" t="s">
        <v>4</v>
      </c>
      <c r="K5" s="24" t="s">
        <v>100</v>
      </c>
      <c r="L5" s="24" t="s">
        <v>100</v>
      </c>
      <c r="M5" s="24" t="s">
        <v>100</v>
      </c>
      <c r="N5" s="24" t="s">
        <v>100</v>
      </c>
      <c r="O5" s="24" t="s">
        <v>101</v>
      </c>
      <c r="P5" s="23" t="s">
        <v>95</v>
      </c>
      <c r="Q5" s="24" t="s">
        <v>102</v>
      </c>
      <c r="R5" s="24" t="s">
        <v>3</v>
      </c>
      <c r="S5" s="24" t="s">
        <v>99</v>
      </c>
      <c r="T5" s="24" t="s">
        <v>100</v>
      </c>
      <c r="U5" s="24" t="s">
        <v>99</v>
      </c>
      <c r="V5" s="24" t="s">
        <v>3</v>
      </c>
      <c r="W5" s="24" t="s">
        <v>3</v>
      </c>
      <c r="X5" s="24" t="s">
        <v>99</v>
      </c>
      <c r="Y5" s="24" t="s">
        <v>3</v>
      </c>
      <c r="Z5" s="24" t="s">
        <v>99</v>
      </c>
      <c r="AA5" s="24" t="s">
        <v>3</v>
      </c>
      <c r="AB5" s="153" t="s">
        <v>3</v>
      </c>
      <c r="AC5" s="153" t="s">
        <v>3</v>
      </c>
      <c r="AD5" s="153" t="s">
        <v>3</v>
      </c>
      <c r="AE5" s="153" t="s">
        <v>99</v>
      </c>
      <c r="AF5" s="171" t="s">
        <v>67</v>
      </c>
      <c r="AG5" s="171"/>
      <c r="AH5" s="172"/>
      <c r="AI5" s="25" t="s">
        <v>74</v>
      </c>
    </row>
    <row r="6" spans="1:82" ht="29.25" hidden="1" outlineLevel="1">
      <c r="A6" s="170"/>
      <c r="B6" s="169"/>
      <c r="C6" s="169"/>
      <c r="D6" s="22"/>
      <c r="E6" s="22"/>
      <c r="F6" s="22"/>
      <c r="G6" s="26" t="s">
        <v>103</v>
      </c>
      <c r="H6" s="22"/>
      <c r="I6" s="22"/>
      <c r="J6" s="23"/>
      <c r="K6" s="27" t="s">
        <v>104</v>
      </c>
      <c r="L6" s="27" t="s">
        <v>105</v>
      </c>
      <c r="M6" s="27" t="s">
        <v>106</v>
      </c>
      <c r="N6" s="26" t="s">
        <v>103</v>
      </c>
      <c r="O6" s="27"/>
      <c r="P6" s="28"/>
      <c r="Q6" s="27"/>
      <c r="R6" s="27" t="s">
        <v>107</v>
      </c>
      <c r="S6" s="27" t="s">
        <v>105</v>
      </c>
      <c r="T6" s="27" t="s">
        <v>106</v>
      </c>
      <c r="U6" s="27" t="s">
        <v>106</v>
      </c>
      <c r="V6" s="26" t="s">
        <v>103</v>
      </c>
      <c r="W6" s="27"/>
      <c r="X6" s="24"/>
      <c r="Y6" s="24" t="s">
        <v>165</v>
      </c>
      <c r="Z6" s="24"/>
      <c r="AA6" s="24" t="s">
        <v>165</v>
      </c>
      <c r="AB6" s="154" t="s">
        <v>103</v>
      </c>
      <c r="AC6" s="155"/>
      <c r="AD6" s="155"/>
      <c r="AE6" s="153"/>
      <c r="AF6" s="156"/>
      <c r="AG6" s="156"/>
      <c r="AH6" s="156"/>
      <c r="AI6" s="29"/>
    </row>
    <row r="7" spans="1:82" ht="31.5" customHeight="1" collapsed="1">
      <c r="A7" s="170"/>
      <c r="B7" s="169"/>
      <c r="C7" s="169"/>
      <c r="D7" s="24" t="s">
        <v>5</v>
      </c>
      <c r="E7" s="24" t="s">
        <v>6</v>
      </c>
      <c r="F7" s="24" t="s">
        <v>7</v>
      </c>
      <c r="G7" s="24" t="s">
        <v>7</v>
      </c>
      <c r="H7" s="24" t="s">
        <v>75</v>
      </c>
      <c r="I7" s="24" t="s">
        <v>84</v>
      </c>
      <c r="J7" s="22" t="s">
        <v>8</v>
      </c>
      <c r="K7" s="24" t="s">
        <v>8</v>
      </c>
      <c r="L7" s="24" t="s">
        <v>8</v>
      </c>
      <c r="M7" s="24" t="s">
        <v>8</v>
      </c>
      <c r="N7" s="24" t="s">
        <v>8</v>
      </c>
      <c r="O7" s="24" t="s">
        <v>94</v>
      </c>
      <c r="P7" s="22" t="s">
        <v>9</v>
      </c>
      <c r="Q7" s="24" t="s">
        <v>9</v>
      </c>
      <c r="R7" s="24" t="s">
        <v>94</v>
      </c>
      <c r="S7" s="24" t="s">
        <v>9</v>
      </c>
      <c r="T7" s="24" t="s">
        <v>108</v>
      </c>
      <c r="U7" s="24" t="s">
        <v>9</v>
      </c>
      <c r="V7" s="24" t="s">
        <v>9</v>
      </c>
      <c r="W7" s="24" t="s">
        <v>119</v>
      </c>
      <c r="X7" s="27" t="s">
        <v>120</v>
      </c>
      <c r="Y7" s="24" t="s">
        <v>121</v>
      </c>
      <c r="Z7" s="24" t="s">
        <v>10</v>
      </c>
      <c r="AA7" s="24" t="s">
        <v>10</v>
      </c>
      <c r="AB7" s="153" t="s">
        <v>10</v>
      </c>
      <c r="AC7" s="153" t="s">
        <v>173</v>
      </c>
      <c r="AD7" s="153" t="s">
        <v>174</v>
      </c>
      <c r="AE7" s="157" t="s">
        <v>66</v>
      </c>
      <c r="AF7" s="157" t="s">
        <v>93</v>
      </c>
      <c r="AG7" s="157" t="s">
        <v>109</v>
      </c>
      <c r="AH7" s="157" t="s">
        <v>166</v>
      </c>
      <c r="AI7" s="29"/>
    </row>
    <row r="8" spans="1:82" ht="13.5" hidden="1" customHeight="1" outlineLevel="1">
      <c r="A8" s="30"/>
      <c r="B8" s="31" t="s">
        <v>96</v>
      </c>
      <c r="C8" s="32"/>
      <c r="D8" s="24"/>
      <c r="E8" s="24"/>
      <c r="F8" s="24"/>
      <c r="G8" s="24"/>
      <c r="H8" s="24"/>
      <c r="I8" s="24"/>
      <c r="J8" s="22"/>
      <c r="K8" s="24"/>
      <c r="L8" s="24"/>
      <c r="M8" s="24"/>
      <c r="N8" s="24"/>
      <c r="O8" s="24"/>
      <c r="P8" s="22"/>
      <c r="Q8" s="33">
        <v>1.1559999999999999</v>
      </c>
      <c r="R8" s="24"/>
      <c r="S8" s="33"/>
      <c r="T8" s="33"/>
      <c r="U8" s="33"/>
      <c r="V8" s="33"/>
      <c r="W8" s="33"/>
      <c r="X8" s="34">
        <v>1.0640000000000001</v>
      </c>
      <c r="Y8" s="34"/>
      <c r="Z8" s="34"/>
      <c r="AA8" s="34"/>
      <c r="AB8" s="158"/>
      <c r="AC8" s="158"/>
      <c r="AD8" s="158"/>
      <c r="AE8" s="158"/>
      <c r="AF8" s="158">
        <v>1.052</v>
      </c>
      <c r="AG8" s="158"/>
      <c r="AH8" s="158"/>
      <c r="AI8" s="29"/>
    </row>
    <row r="9" spans="1:82" ht="17.25" customHeight="1" collapsed="1">
      <c r="A9" s="35" t="s">
        <v>11</v>
      </c>
      <c r="B9" s="36" t="s">
        <v>12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29"/>
    </row>
    <row r="10" spans="1:82" s="8" customFormat="1" ht="30">
      <c r="A10" s="35" t="s">
        <v>13</v>
      </c>
      <c r="B10" s="39" t="s">
        <v>14</v>
      </c>
      <c r="C10" s="39" t="s">
        <v>68</v>
      </c>
      <c r="D10" s="4">
        <v>22.038</v>
      </c>
      <c r="E10" s="7">
        <v>22.643999999999998</v>
      </c>
      <c r="F10" s="7">
        <v>23.151</v>
      </c>
      <c r="G10" s="7">
        <v>23.151</v>
      </c>
      <c r="H10" s="7" t="s">
        <v>80</v>
      </c>
      <c r="I10" s="7">
        <f>F10+0.079+0.056</f>
        <v>23.286000000000001</v>
      </c>
      <c r="J10" s="7">
        <f>F10+J11+J12</f>
        <v>23.626139999999999</v>
      </c>
      <c r="K10" s="7">
        <f>F10+K11+K12</f>
        <v>23.665000000000003</v>
      </c>
      <c r="L10" s="7">
        <v>23.664999999999999</v>
      </c>
      <c r="M10" s="7">
        <v>23.664999999999999</v>
      </c>
      <c r="N10" s="4">
        <v>23.664999999999999</v>
      </c>
      <c r="O10" s="4">
        <v>23.664999999999999</v>
      </c>
      <c r="P10" s="4">
        <f>K10+P11+P12</f>
        <v>24.103000000000005</v>
      </c>
      <c r="Q10" s="4">
        <v>24.103000000000002</v>
      </c>
      <c r="R10" s="4">
        <v>23.664999999999999</v>
      </c>
      <c r="S10" s="4">
        <v>24.103000000000002</v>
      </c>
      <c r="T10" s="40">
        <v>23.939</v>
      </c>
      <c r="U10" s="4">
        <f>M10+U11+U12</f>
        <v>24.158628284765328</v>
      </c>
      <c r="V10" s="4">
        <v>24.236999999999998</v>
      </c>
      <c r="W10" s="4">
        <f>V10</f>
        <v>24.236999999999998</v>
      </c>
      <c r="X10" s="4">
        <v>24.806000000000001</v>
      </c>
      <c r="Y10" s="4">
        <f>X10</f>
        <v>24.806000000000001</v>
      </c>
      <c r="Z10" s="4">
        <f>X10</f>
        <v>24.806000000000001</v>
      </c>
      <c r="AA10" s="4">
        <v>24.594999999999999</v>
      </c>
      <c r="AB10" s="7">
        <v>24.6</v>
      </c>
      <c r="AC10" s="4">
        <v>24.594999999999999</v>
      </c>
      <c r="AD10" s="41">
        <v>24.6</v>
      </c>
      <c r="AE10" s="57">
        <v>24.863</v>
      </c>
      <c r="AF10" s="57">
        <v>25.259</v>
      </c>
      <c r="AG10" s="57">
        <v>25.61</v>
      </c>
      <c r="AH10" s="4">
        <v>25.936</v>
      </c>
      <c r="AI10" s="159" t="s">
        <v>196</v>
      </c>
      <c r="AJ10" s="42"/>
      <c r="AK10" s="14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14"/>
      <c r="BV10" s="14"/>
      <c r="BW10" s="14"/>
      <c r="BX10" s="14"/>
      <c r="BY10" s="14"/>
      <c r="BZ10" s="14"/>
      <c r="CA10" s="14"/>
      <c r="CB10" s="14"/>
      <c r="CC10" s="14"/>
      <c r="CD10" s="14"/>
    </row>
    <row r="11" spans="1:82" s="8" customFormat="1" ht="27" customHeight="1">
      <c r="A11" s="35" t="s">
        <v>16</v>
      </c>
      <c r="B11" s="39" t="s">
        <v>17</v>
      </c>
      <c r="C11" s="39" t="s">
        <v>18</v>
      </c>
      <c r="D11" s="6">
        <v>0.11700000000000001</v>
      </c>
      <c r="E11" s="6">
        <v>0.14099999999999999</v>
      </c>
      <c r="F11" s="7">
        <f>164/1000</f>
        <v>0.16400000000000001</v>
      </c>
      <c r="G11" s="7">
        <f>164/1000</f>
        <v>0.16400000000000001</v>
      </c>
      <c r="H11" s="6">
        <f>76/1000</f>
        <v>7.5999999999999998E-2</v>
      </c>
      <c r="I11" s="6" t="s">
        <v>86</v>
      </c>
      <c r="J11" s="6">
        <f>(79*2)/1000</f>
        <v>0.158</v>
      </c>
      <c r="K11" s="6">
        <v>0.19</v>
      </c>
      <c r="L11" s="6">
        <v>0.19</v>
      </c>
      <c r="M11" s="7">
        <v>0.19</v>
      </c>
      <c r="N11" s="4">
        <v>0.19</v>
      </c>
      <c r="O11" s="44" t="s">
        <v>90</v>
      </c>
      <c r="P11" s="4">
        <f>164/1000</f>
        <v>0.16400000000000001</v>
      </c>
      <c r="Q11" s="4">
        <f>164/1000</f>
        <v>0.16400000000000001</v>
      </c>
      <c r="R11" s="44" t="s">
        <v>90</v>
      </c>
      <c r="S11" s="4">
        <f>164/1000</f>
        <v>0.16400000000000001</v>
      </c>
      <c r="T11" s="40" t="s">
        <v>90</v>
      </c>
      <c r="U11" s="4">
        <f>(164+190)/2/1000</f>
        <v>0.17699999999999999</v>
      </c>
      <c r="V11" s="4">
        <v>0.251</v>
      </c>
      <c r="W11" s="44" t="s">
        <v>90</v>
      </c>
      <c r="X11" s="4">
        <f>(V11+M11+F11)/3</f>
        <v>0.20166666666666666</v>
      </c>
      <c r="Y11" s="44" t="s">
        <v>90</v>
      </c>
      <c r="Z11" s="4">
        <f t="shared" ref="Z11:Z13" si="0">X11</f>
        <v>0.20166666666666666</v>
      </c>
      <c r="AA11" s="44" t="s">
        <v>169</v>
      </c>
      <c r="AB11" s="41">
        <v>0.29199999999999998</v>
      </c>
      <c r="AC11" s="45" t="s">
        <v>90</v>
      </c>
      <c r="AD11" s="45" t="s">
        <v>225</v>
      </c>
      <c r="AE11" s="4">
        <f>0.245</f>
        <v>0.245</v>
      </c>
      <c r="AF11" s="4">
        <v>0.22600000000000001</v>
      </c>
      <c r="AG11" s="4">
        <f t="shared" ref="AG11" si="1">AF11</f>
        <v>0.22600000000000001</v>
      </c>
      <c r="AH11" s="4">
        <f>AG11</f>
        <v>0.22600000000000001</v>
      </c>
      <c r="AI11" s="160"/>
      <c r="AJ11" s="46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</row>
    <row r="12" spans="1:82" s="8" customFormat="1" ht="45">
      <c r="A12" s="35" t="s">
        <v>19</v>
      </c>
      <c r="B12" s="39" t="s">
        <v>20</v>
      </c>
      <c r="C12" s="39" t="s">
        <v>18</v>
      </c>
      <c r="D12" s="4">
        <v>0.55800000000000005</v>
      </c>
      <c r="E12" s="4">
        <v>0.39600000000000002</v>
      </c>
      <c r="F12" s="7">
        <f>314/1000</f>
        <v>0.314</v>
      </c>
      <c r="G12" s="7">
        <f>314/1000</f>
        <v>0.314</v>
      </c>
      <c r="H12" s="4">
        <f>56/1000</f>
        <v>5.6000000000000001E-2</v>
      </c>
      <c r="I12" s="4" t="s">
        <v>87</v>
      </c>
      <c r="J12" s="4">
        <f>314*1.01/1000</f>
        <v>0.31713999999999998</v>
      </c>
      <c r="K12" s="4">
        <f>0.359-0.035</f>
        <v>0.32399999999999995</v>
      </c>
      <c r="L12" s="4">
        <f>0.359-0.035</f>
        <v>0.32399999999999995</v>
      </c>
      <c r="M12" s="7">
        <v>0.35899999999999999</v>
      </c>
      <c r="N12" s="4">
        <v>0.35899999999999999</v>
      </c>
      <c r="O12" s="44" t="s">
        <v>90</v>
      </c>
      <c r="P12" s="4">
        <f>314/1000-0.04</f>
        <v>0.27400000000000002</v>
      </c>
      <c r="Q12" s="4">
        <f>314/1000-0.04</f>
        <v>0.27400000000000002</v>
      </c>
      <c r="R12" s="44" t="s">
        <v>90</v>
      </c>
      <c r="S12" s="4">
        <f>314/1000-0.04</f>
        <v>0.27400000000000002</v>
      </c>
      <c r="T12" s="40" t="s">
        <v>90</v>
      </c>
      <c r="U12" s="4">
        <f>((E12/D12)+(F12/E12)+(M12/F12))/3*M12</f>
        <v>0.31662828476533011</v>
      </c>
      <c r="V12" s="4">
        <v>0.34</v>
      </c>
      <c r="W12" s="44" t="s">
        <v>90</v>
      </c>
      <c r="X12" s="4">
        <f>(V12+M12+F12)/3</f>
        <v>0.33766666666666673</v>
      </c>
      <c r="Y12" s="44" t="s">
        <v>90</v>
      </c>
      <c r="Z12" s="4">
        <f t="shared" si="0"/>
        <v>0.33766666666666673</v>
      </c>
      <c r="AA12" s="44" t="s">
        <v>169</v>
      </c>
      <c r="AB12" s="47">
        <v>-0.17299999999999999</v>
      </c>
      <c r="AC12" s="45" t="s">
        <v>90</v>
      </c>
      <c r="AD12" s="45" t="s">
        <v>195</v>
      </c>
      <c r="AE12" s="4">
        <v>0.17199999999999999</v>
      </c>
      <c r="AF12" s="4">
        <v>0.15</v>
      </c>
      <c r="AG12" s="4">
        <v>0.1</v>
      </c>
      <c r="AH12" s="4">
        <f>AG12</f>
        <v>0.1</v>
      </c>
      <c r="AI12" s="160"/>
      <c r="AJ12" s="46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</row>
    <row r="13" spans="1:82" s="8" customFormat="1" ht="31.5" customHeight="1">
      <c r="A13" s="35" t="s">
        <v>21</v>
      </c>
      <c r="B13" s="39" t="s">
        <v>22</v>
      </c>
      <c r="C13" s="39" t="s">
        <v>18</v>
      </c>
      <c r="D13" s="4">
        <v>14.12</v>
      </c>
      <c r="E13" s="4">
        <v>14.26</v>
      </c>
      <c r="F13" s="4">
        <f>14258/1000</f>
        <v>14.257999999999999</v>
      </c>
      <c r="G13" s="4">
        <f>14258/1000</f>
        <v>14.257999999999999</v>
      </c>
      <c r="H13" s="4" t="s">
        <v>79</v>
      </c>
      <c r="I13" s="4" t="s">
        <v>79</v>
      </c>
      <c r="J13" s="4">
        <f>SUM(F13*1.01)</f>
        <v>14.40058</v>
      </c>
      <c r="K13" s="4">
        <v>14.438000000000001</v>
      </c>
      <c r="L13" s="4">
        <v>14.4</v>
      </c>
      <c r="M13" s="4">
        <v>14.590999999999999</v>
      </c>
      <c r="N13" s="4">
        <v>14.590999999999999</v>
      </c>
      <c r="O13" s="45" t="s">
        <v>90</v>
      </c>
      <c r="P13" s="4">
        <v>14.6</v>
      </c>
      <c r="Q13" s="4">
        <v>14.6</v>
      </c>
      <c r="R13" s="45" t="s">
        <v>90</v>
      </c>
      <c r="S13" s="4">
        <v>14.6</v>
      </c>
      <c r="T13" s="44" t="s">
        <v>90</v>
      </c>
      <c r="U13" s="4">
        <v>14.6</v>
      </c>
      <c r="V13" s="48">
        <v>14.705</v>
      </c>
      <c r="W13" s="45" t="s">
        <v>90</v>
      </c>
      <c r="X13" s="4">
        <v>14.7</v>
      </c>
      <c r="Y13" s="45" t="s">
        <v>90</v>
      </c>
      <c r="Z13" s="4">
        <f t="shared" si="0"/>
        <v>14.7</v>
      </c>
      <c r="AA13" s="45" t="s">
        <v>168</v>
      </c>
      <c r="AB13" s="47">
        <v>14.532999999999999</v>
      </c>
      <c r="AC13" s="45" t="s">
        <v>90</v>
      </c>
      <c r="AD13" s="45" t="s">
        <v>178</v>
      </c>
      <c r="AE13" s="4">
        <f>14.678</f>
        <v>14.678000000000001</v>
      </c>
      <c r="AF13" s="4">
        <f>14.825</f>
        <v>14.824999999999999</v>
      </c>
      <c r="AG13" s="4">
        <f>14.944</f>
        <v>14.944000000000001</v>
      </c>
      <c r="AH13" s="4">
        <f>15.063</f>
        <v>15.063000000000001</v>
      </c>
      <c r="AI13" s="161"/>
      <c r="AJ13" s="46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</row>
    <row r="14" spans="1:82">
      <c r="A14" s="35" t="s">
        <v>23</v>
      </c>
      <c r="B14" s="49" t="s">
        <v>24</v>
      </c>
      <c r="C14" s="37"/>
      <c r="D14" s="37"/>
      <c r="E14" s="37"/>
      <c r="F14" s="3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0"/>
      <c r="AJ14" s="46"/>
    </row>
    <row r="15" spans="1:82" s="8" customFormat="1" ht="76.5">
      <c r="A15" s="35" t="s">
        <v>25</v>
      </c>
      <c r="B15" s="39" t="s">
        <v>26</v>
      </c>
      <c r="C15" s="39" t="s">
        <v>27</v>
      </c>
      <c r="D15" s="5">
        <v>8670.7999999999993</v>
      </c>
      <c r="E15" s="5">
        <v>9248.2000000000007</v>
      </c>
      <c r="F15" s="5">
        <v>10156.270399999999</v>
      </c>
      <c r="G15" s="51">
        <f>G17+(G18-G20)*G23*0.5*12/1000</f>
        <v>10156.270399999999</v>
      </c>
      <c r="H15" s="5" t="s">
        <v>76</v>
      </c>
      <c r="I15" s="5" t="s">
        <v>88</v>
      </c>
      <c r="J15" s="5">
        <f>PRODUCT(F15*1.1)</f>
        <v>11171.897440000001</v>
      </c>
      <c r="K15" s="5">
        <v>10224.038</v>
      </c>
      <c r="L15" s="5">
        <v>10224.038</v>
      </c>
      <c r="M15" s="5">
        <v>10224.038</v>
      </c>
      <c r="N15" s="5">
        <f>N17+(N18-N20)*N22*0.5*12/1000</f>
        <v>11236.808045</v>
      </c>
      <c r="O15" s="45" t="s">
        <v>90</v>
      </c>
      <c r="P15" s="5">
        <f>P18*P23/100</f>
        <v>0</v>
      </c>
      <c r="Q15" s="5">
        <f>P15</f>
        <v>0</v>
      </c>
      <c r="R15" s="45" t="s">
        <v>90</v>
      </c>
      <c r="S15" s="5">
        <f>S18*S23/100</f>
        <v>0</v>
      </c>
      <c r="T15" s="5" t="s">
        <v>110</v>
      </c>
      <c r="U15" s="5">
        <f>5406.7*2</f>
        <v>10813.4</v>
      </c>
      <c r="V15" s="5">
        <f>V17+(V18-V20)*V22*0.5*12/1000</f>
        <v>11769.755925000001</v>
      </c>
      <c r="W15" s="45" t="s">
        <v>90</v>
      </c>
      <c r="X15" s="5">
        <f>X17+(X18-X20)*X22*0.5*12/1000</f>
        <v>11607.234949905</v>
      </c>
      <c r="Y15" s="5" t="s">
        <v>161</v>
      </c>
      <c r="Z15" s="5">
        <f t="shared" ref="Z15:AH15" si="2">Z17+(Z18-Z20)*Z22*0.5*12/1000</f>
        <v>12579.820176262248</v>
      </c>
      <c r="AA15" s="5">
        <f>AA17+(AA18-AA20)*AA22*0.5*12/1000</f>
        <v>11939.073591199998</v>
      </c>
      <c r="AB15" s="5">
        <f>AB17+(AB18-AB20)*AB22*0.5*12/1000</f>
        <v>11939.073591199998</v>
      </c>
      <c r="AC15" s="45" t="s">
        <v>90</v>
      </c>
      <c r="AD15" s="45" t="s">
        <v>182</v>
      </c>
      <c r="AE15" s="5">
        <f>AE17+(AE18-AE20)*AE22*0.5*12/1000</f>
        <v>11556.461621119168</v>
      </c>
      <c r="AF15" s="5">
        <f t="shared" si="2"/>
        <v>11920.026901317702</v>
      </c>
      <c r="AG15" s="5">
        <f t="shared" si="2"/>
        <v>12295.005282869144</v>
      </c>
      <c r="AH15" s="5">
        <f t="shared" si="2"/>
        <v>12681.754343102482</v>
      </c>
      <c r="AI15" s="52" t="s">
        <v>201</v>
      </c>
      <c r="AJ15" s="46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</row>
    <row r="16" spans="1:82" hidden="1" outlineLevel="1">
      <c r="A16" s="35"/>
      <c r="B16" s="39" t="s">
        <v>111</v>
      </c>
      <c r="C16" s="3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5"/>
      <c r="P16" s="5"/>
      <c r="Q16" s="5"/>
      <c r="R16" s="4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3"/>
      <c r="AG16" s="53"/>
      <c r="AH16" s="53"/>
      <c r="AI16" s="29"/>
      <c r="AJ16" s="46"/>
    </row>
    <row r="17" spans="1:82" s="8" customFormat="1" ht="63.75" hidden="1" outlineLevel="1">
      <c r="A17" s="54"/>
      <c r="B17" s="39" t="s">
        <v>112</v>
      </c>
      <c r="C17" s="39" t="s">
        <v>27</v>
      </c>
      <c r="D17" s="5"/>
      <c r="E17" s="5"/>
      <c r="F17" s="5"/>
      <c r="G17" s="5">
        <f>10156.2704</f>
        <v>10156.270399999999</v>
      </c>
      <c r="H17" s="5"/>
      <c r="I17" s="5"/>
      <c r="J17" s="5"/>
      <c r="K17" s="5"/>
      <c r="L17" s="5"/>
      <c r="M17" s="5"/>
      <c r="N17" s="5">
        <f>10224.038</f>
        <v>10224.038</v>
      </c>
      <c r="O17" s="45"/>
      <c r="P17" s="5"/>
      <c r="Q17" s="5"/>
      <c r="R17" s="45"/>
      <c r="S17" s="5"/>
      <c r="T17" s="5"/>
      <c r="U17" s="5"/>
      <c r="V17" s="5">
        <f>10691.709</f>
        <v>10691.709000000001</v>
      </c>
      <c r="W17" s="45" t="s">
        <v>90</v>
      </c>
      <c r="X17" s="5">
        <f>X22*X20/1000*12</f>
        <v>10559.37961869</v>
      </c>
      <c r="Y17" s="5" t="s">
        <v>158</v>
      </c>
      <c r="Z17" s="5">
        <f t="shared" ref="Z17:AH17" si="3">Z22*Z20/1000*12</f>
        <v>11510.963522803793</v>
      </c>
      <c r="AA17" s="55">
        <v>10887.608899999999</v>
      </c>
      <c r="AB17" s="5">
        <v>10887.608899999999</v>
      </c>
      <c r="AC17" s="45" t="s">
        <v>90</v>
      </c>
      <c r="AD17" s="45" t="s">
        <v>179</v>
      </c>
      <c r="AE17" s="5">
        <f t="shared" si="3"/>
        <v>10513.179669230767</v>
      </c>
      <c r="AF17" s="5">
        <f t="shared" si="3"/>
        <v>10838.95747873228</v>
      </c>
      <c r="AG17" s="5">
        <f t="shared" si="3"/>
        <v>11174.820095101579</v>
      </c>
      <c r="AH17" s="5">
        <f t="shared" si="3"/>
        <v>11521.079406722172</v>
      </c>
      <c r="AI17" s="52" t="s">
        <v>200</v>
      </c>
      <c r="AJ17" s="46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</row>
    <row r="18" spans="1:82" s="8" customFormat="1" ht="60" collapsed="1">
      <c r="A18" s="35" t="s">
        <v>28</v>
      </c>
      <c r="B18" s="39" t="s">
        <v>29</v>
      </c>
      <c r="C18" s="39" t="s">
        <v>15</v>
      </c>
      <c r="D18" s="4">
        <v>15.606999999999999</v>
      </c>
      <c r="E18" s="4">
        <v>15.449</v>
      </c>
      <c r="F18" s="7">
        <v>13.615</v>
      </c>
      <c r="G18" s="56">
        <v>15.459</v>
      </c>
      <c r="H18" s="7" t="s">
        <v>78</v>
      </c>
      <c r="I18" s="7" t="s">
        <v>78</v>
      </c>
      <c r="J18" s="7">
        <v>15.468999999999999</v>
      </c>
      <c r="K18" s="7">
        <v>15.257999999999999</v>
      </c>
      <c r="L18" s="7">
        <v>15.257999999999999</v>
      </c>
      <c r="M18" s="7">
        <v>12.734999999999999</v>
      </c>
      <c r="N18" s="4">
        <v>15.257999999999999</v>
      </c>
      <c r="O18" s="4" t="s">
        <v>97</v>
      </c>
      <c r="P18" s="4">
        <v>15.268000000000001</v>
      </c>
      <c r="Q18" s="4">
        <v>15.268000000000001</v>
      </c>
      <c r="R18" s="4" t="s">
        <v>97</v>
      </c>
      <c r="S18" s="4">
        <v>15.268000000000001</v>
      </c>
      <c r="T18" s="4" t="s">
        <v>113</v>
      </c>
      <c r="U18" s="4">
        <f>12.735+(12.865-12.735)*2</f>
        <v>12.995000000000001</v>
      </c>
      <c r="V18" s="57">
        <f>N18+(V20-N20)+(V27-N27)/1000</f>
        <v>15.343999999999999</v>
      </c>
      <c r="W18" s="44" t="s">
        <v>90</v>
      </c>
      <c r="X18" s="57">
        <f>V18</f>
        <v>15.343999999999999</v>
      </c>
      <c r="Y18" s="57">
        <f>V18+(Y20-V20)+(Y27-V27)/1000</f>
        <v>15.782999999999999</v>
      </c>
      <c r="Z18" s="57">
        <f>Y18</f>
        <v>15.782999999999999</v>
      </c>
      <c r="AA18" s="58">
        <f>V18+(AA20-V20)+(AA27-V27)/1000</f>
        <v>15.220999999999998</v>
      </c>
      <c r="AB18" s="58">
        <f>AA18</f>
        <v>15.220999999999998</v>
      </c>
      <c r="AC18" s="45" t="s">
        <v>90</v>
      </c>
      <c r="AD18" s="45" t="s">
        <v>90</v>
      </c>
      <c r="AE18" s="58">
        <f>AB18+(AE20-AB20)+(AE27-AB27)/1000</f>
        <v>14.999666666666664</v>
      </c>
      <c r="AF18" s="58">
        <f>AE18+(AF20-AE20)+(AF27-AE27)/1000</f>
        <v>15.026666666666666</v>
      </c>
      <c r="AG18" s="58">
        <f t="shared" ref="AG18:AH18" si="4">AF18+(AG20-AF20)+(AG27-AF27)/1000</f>
        <v>15.053666666666667</v>
      </c>
      <c r="AH18" s="58">
        <f t="shared" si="4"/>
        <v>15.080666666666668</v>
      </c>
      <c r="AI18" s="52" t="s">
        <v>159</v>
      </c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1:82" hidden="1" outlineLevel="1">
      <c r="A19" s="35"/>
      <c r="B19" s="39" t="s">
        <v>111</v>
      </c>
      <c r="C19" s="39"/>
      <c r="D19" s="4"/>
      <c r="E19" s="4"/>
      <c r="F19" s="7"/>
      <c r="G19" s="56"/>
      <c r="H19" s="4"/>
      <c r="I19" s="4"/>
      <c r="J19" s="4"/>
      <c r="K19" s="4"/>
      <c r="L19" s="4"/>
      <c r="M19" s="7"/>
      <c r="N19" s="56"/>
      <c r="O19" s="4"/>
      <c r="P19" s="4"/>
      <c r="Q19" s="4"/>
      <c r="R19" s="4"/>
      <c r="S19" s="4"/>
      <c r="T19" s="4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52"/>
    </row>
    <row r="20" spans="1:82" s="8" customFormat="1" ht="76.5" hidden="1" outlineLevel="1">
      <c r="A20" s="35"/>
      <c r="B20" s="39" t="s">
        <v>114</v>
      </c>
      <c r="C20" s="39" t="s">
        <v>15</v>
      </c>
      <c r="D20" s="4"/>
      <c r="E20" s="56">
        <v>13.351000000000001</v>
      </c>
      <c r="F20" s="7"/>
      <c r="G20" s="7">
        <v>13.615</v>
      </c>
      <c r="H20" s="4"/>
      <c r="I20" s="4"/>
      <c r="J20" s="4"/>
      <c r="K20" s="4"/>
      <c r="L20" s="4"/>
      <c r="M20" s="7"/>
      <c r="N20" s="7">
        <v>12.734999999999999</v>
      </c>
      <c r="O20" s="4"/>
      <c r="P20" s="4"/>
      <c r="Q20" s="4"/>
      <c r="R20" s="4"/>
      <c r="S20" s="4"/>
      <c r="T20" s="4"/>
      <c r="U20" s="7"/>
      <c r="V20" s="7">
        <v>12.769</v>
      </c>
      <c r="W20" s="45" t="s">
        <v>90</v>
      </c>
      <c r="X20" s="7">
        <f>(V20-N20)+V20</f>
        <v>12.803000000000001</v>
      </c>
      <c r="Y20" s="7">
        <v>13.311</v>
      </c>
      <c r="Z20" s="7">
        <f>Y20</f>
        <v>13.311</v>
      </c>
      <c r="AA20" s="7">
        <v>12.757</v>
      </c>
      <c r="AB20" s="7">
        <v>12.757</v>
      </c>
      <c r="AC20" s="45" t="s">
        <v>90</v>
      </c>
      <c r="AD20" s="45" t="s">
        <v>180</v>
      </c>
      <c r="AE20" s="7">
        <f>(V20+AB20+12.021)/3</f>
        <v>12.515666666666666</v>
      </c>
      <c r="AF20" s="7">
        <f>(V20-AB20)+AE20</f>
        <v>12.527666666666667</v>
      </c>
      <c r="AG20" s="7">
        <f>(AF20-AE20)+AF20</f>
        <v>12.539666666666667</v>
      </c>
      <c r="AH20" s="7">
        <f>(AG20-AF20)+AG20</f>
        <v>12.551666666666668</v>
      </c>
      <c r="AI20" s="52" t="s">
        <v>198</v>
      </c>
      <c r="AJ20" s="13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:82" s="8" customFormat="1" ht="60" hidden="1" outlineLevel="1">
      <c r="A21" s="35"/>
      <c r="B21" s="39" t="s">
        <v>115</v>
      </c>
      <c r="C21" s="39" t="s">
        <v>15</v>
      </c>
      <c r="D21" s="4"/>
      <c r="E21" s="56"/>
      <c r="F21" s="7"/>
      <c r="G21" s="59">
        <v>2.665</v>
      </c>
      <c r="H21" s="60"/>
      <c r="I21" s="60"/>
      <c r="J21" s="60"/>
      <c r="K21" s="60"/>
      <c r="L21" s="60"/>
      <c r="M21" s="60"/>
      <c r="N21" s="61">
        <v>2.64</v>
      </c>
      <c r="O21" s="60"/>
      <c r="P21" s="60"/>
      <c r="Q21" s="60"/>
      <c r="R21" s="60"/>
      <c r="S21" s="60"/>
      <c r="T21" s="60"/>
      <c r="U21" s="60"/>
      <c r="V21" s="62">
        <f>N21+(V27-N27)/1000</f>
        <v>2.6920000000000002</v>
      </c>
      <c r="W21" s="45" t="s">
        <v>90</v>
      </c>
      <c r="X21" s="62">
        <f>V21+(X27-V27)/1000</f>
        <v>2.7120000000000002</v>
      </c>
      <c r="Y21" s="62">
        <f>V21+(Y27-V27)/1000</f>
        <v>2.589</v>
      </c>
      <c r="Z21" s="62">
        <f>Y21</f>
        <v>2.589</v>
      </c>
      <c r="AA21" s="62">
        <f>V21+(AA27-V27)/1000</f>
        <v>2.581</v>
      </c>
      <c r="AB21" s="62">
        <f>AA21</f>
        <v>2.581</v>
      </c>
      <c r="AC21" s="45" t="s">
        <v>90</v>
      </c>
      <c r="AD21" s="62">
        <f>AB21+(AD27-AB27)/1000</f>
        <v>2.5909999999999997</v>
      </c>
      <c r="AE21" s="62">
        <f>AB21+(AE27-AB27)/1000</f>
        <v>2.601</v>
      </c>
      <c r="AF21" s="62">
        <f>AE21+(AF27-AE27)/1000+0.01</f>
        <v>2.6259999999999999</v>
      </c>
      <c r="AG21" s="62">
        <f>AF21+(AG27-AF27)/1000</f>
        <v>2.641</v>
      </c>
      <c r="AH21" s="62">
        <f>AG21+(AH27-AG27)/1000</f>
        <v>2.6560000000000001</v>
      </c>
      <c r="AI21" s="52" t="s">
        <v>156</v>
      </c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</row>
    <row r="22" spans="1:82" s="8" customFormat="1" ht="89.25" collapsed="1">
      <c r="A22" s="35" t="s">
        <v>30</v>
      </c>
      <c r="B22" s="39" t="s">
        <v>155</v>
      </c>
      <c r="C22" s="39" t="s">
        <v>31</v>
      </c>
      <c r="D22" s="5">
        <v>49360.3</v>
      </c>
      <c r="E22" s="5">
        <v>57399.4</v>
      </c>
      <c r="F22" s="5">
        <v>62163.5</v>
      </c>
      <c r="G22" s="5">
        <v>62163.5</v>
      </c>
      <c r="H22" s="5" t="s">
        <v>82</v>
      </c>
      <c r="I22" s="5" t="s">
        <v>85</v>
      </c>
      <c r="J22" s="5">
        <v>65893.3</v>
      </c>
      <c r="K22" s="5">
        <v>67026.5</v>
      </c>
      <c r="L22" s="5">
        <v>66902.5</v>
      </c>
      <c r="M22" s="5">
        <v>66902.5</v>
      </c>
      <c r="N22" s="5">
        <v>66902.5</v>
      </c>
      <c r="O22" s="5" t="s">
        <v>98</v>
      </c>
      <c r="P22" s="63">
        <v>71048.100000000006</v>
      </c>
      <c r="Q22" s="63">
        <v>71048.100000000006</v>
      </c>
      <c r="R22" s="5">
        <v>72298</v>
      </c>
      <c r="S22" s="63">
        <v>71048.100000000006</v>
      </c>
      <c r="T22" s="63" t="s">
        <v>116</v>
      </c>
      <c r="U22" s="63">
        <v>71048.100000000006</v>
      </c>
      <c r="V22" s="63">
        <v>69776.5</v>
      </c>
      <c r="W22" s="45" t="s">
        <v>90</v>
      </c>
      <c r="X22" s="63">
        <f>V22*0.985</f>
        <v>68729.852499999994</v>
      </c>
      <c r="Y22" s="63" t="s">
        <v>162</v>
      </c>
      <c r="Z22" s="63">
        <f>V22/70044*72340.5</f>
        <v>72064.22960210724</v>
      </c>
      <c r="AA22" s="63">
        <v>71121.8</v>
      </c>
      <c r="AB22" s="63">
        <v>71121.8</v>
      </c>
      <c r="AC22" s="45" t="s">
        <v>90</v>
      </c>
      <c r="AD22" s="45" t="s">
        <v>183</v>
      </c>
      <c r="AE22" s="63">
        <f>(AB17*1000-((AB56-AE56)*100)/13)/12/AE20</f>
        <v>70000.130964063486</v>
      </c>
      <c r="AF22" s="63">
        <f>AE22*1.03</f>
        <v>72100.134892985399</v>
      </c>
      <c r="AG22" s="63">
        <f>AF22*1.03</f>
        <v>74263.138939774959</v>
      </c>
      <c r="AH22" s="63">
        <f>AG22*1.03</f>
        <v>76491.033107968207</v>
      </c>
      <c r="AI22" s="52" t="s">
        <v>199</v>
      </c>
      <c r="AJ22" s="1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</row>
    <row r="23" spans="1:82" s="8" customFormat="1" ht="25.5">
      <c r="A23" s="35" t="s">
        <v>122</v>
      </c>
      <c r="B23" s="39" t="s">
        <v>123</v>
      </c>
      <c r="C23" s="39" t="s">
        <v>124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3">
        <v>1.2999999999999999E-2</v>
      </c>
      <c r="O23" s="5"/>
      <c r="P23" s="63"/>
      <c r="Q23" s="63"/>
      <c r="R23" s="5"/>
      <c r="S23" s="63"/>
      <c r="T23" s="63"/>
      <c r="U23" s="63"/>
      <c r="V23" s="64">
        <v>1.7000000000000001E-2</v>
      </c>
      <c r="W23" s="65">
        <v>2.5000000000000001E-2</v>
      </c>
      <c r="X23" s="63"/>
      <c r="Y23" s="64">
        <v>2.3E-2</v>
      </c>
      <c r="Z23" s="64">
        <v>2.3E-2</v>
      </c>
      <c r="AA23" s="64">
        <v>2.5999999999999999E-2</v>
      </c>
      <c r="AB23" s="64">
        <v>2.5999999999999999E-2</v>
      </c>
      <c r="AC23" s="64">
        <v>2.8000000000000001E-2</v>
      </c>
      <c r="AD23" s="64" t="s">
        <v>184</v>
      </c>
      <c r="AE23" s="64">
        <v>2.4E-2</v>
      </c>
      <c r="AF23" s="64">
        <v>2.1999999999999999E-2</v>
      </c>
      <c r="AG23" s="64">
        <v>0.02</v>
      </c>
      <c r="AH23" s="64">
        <v>1.7999999999999999E-2</v>
      </c>
      <c r="AI23" s="52" t="s">
        <v>186</v>
      </c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</row>
    <row r="24" spans="1:82" s="8" customFormat="1" ht="42.75" customHeight="1">
      <c r="A24" s="35" t="s">
        <v>125</v>
      </c>
      <c r="B24" s="39" t="s">
        <v>126</v>
      </c>
      <c r="C24" s="39" t="s">
        <v>31</v>
      </c>
      <c r="D24" s="66"/>
      <c r="E24" s="66"/>
      <c r="F24" s="66"/>
      <c r="G24" s="66">
        <v>15517</v>
      </c>
      <c r="H24" s="66"/>
      <c r="I24" s="66"/>
      <c r="J24" s="5"/>
      <c r="K24" s="5"/>
      <c r="L24" s="5"/>
      <c r="M24" s="5"/>
      <c r="N24" s="67">
        <v>16593</v>
      </c>
      <c r="O24" s="67"/>
      <c r="P24" s="67"/>
      <c r="Q24" s="67"/>
      <c r="R24" s="67"/>
      <c r="S24" s="67"/>
      <c r="T24" s="67"/>
      <c r="U24" s="67"/>
      <c r="V24" s="68">
        <v>18711</v>
      </c>
      <c r="W24" s="67">
        <v>19493</v>
      </c>
      <c r="X24" s="67"/>
      <c r="Y24" s="67">
        <v>19460</v>
      </c>
      <c r="Z24" s="60">
        <v>19400</v>
      </c>
      <c r="AA24" s="60">
        <v>19120</v>
      </c>
      <c r="AB24" s="60">
        <v>19120</v>
      </c>
      <c r="AC24" s="60">
        <v>20819</v>
      </c>
      <c r="AD24" s="60">
        <v>21049</v>
      </c>
      <c r="AE24" s="69">
        <f>AD24*AE36/100</f>
        <v>21848.861999999997</v>
      </c>
      <c r="AF24" s="69">
        <f>AE24*AF36/100</f>
        <v>22722.816479999994</v>
      </c>
      <c r="AG24" s="69">
        <f t="shared" ref="AG24:AH24" si="5">AF24*AG36/100</f>
        <v>23631.729139199993</v>
      </c>
      <c r="AH24" s="69">
        <f t="shared" si="5"/>
        <v>24576.998304767996</v>
      </c>
      <c r="AI24" s="29" t="s">
        <v>224</v>
      </c>
      <c r="AJ24" s="46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</row>
    <row r="25" spans="1:82">
      <c r="A25" s="35" t="s">
        <v>32</v>
      </c>
      <c r="B25" s="49" t="s">
        <v>33</v>
      </c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70"/>
      <c r="W25" s="38"/>
      <c r="X25" s="38"/>
      <c r="Y25" s="38"/>
      <c r="Z25" s="38"/>
      <c r="AA25" s="71"/>
      <c r="AB25" s="38"/>
      <c r="AC25" s="72"/>
      <c r="AD25" s="72"/>
      <c r="AE25" s="72"/>
      <c r="AF25" s="38"/>
      <c r="AG25" s="38"/>
      <c r="AH25" s="38"/>
      <c r="AI25" s="50"/>
      <c r="AJ25" s="46"/>
    </row>
    <row r="26" spans="1:82" s="8" customFormat="1" ht="34.5" customHeight="1">
      <c r="A26" s="164" t="s">
        <v>34</v>
      </c>
      <c r="B26" s="73" t="s">
        <v>117</v>
      </c>
      <c r="C26" s="74" t="s">
        <v>73</v>
      </c>
      <c r="D26" s="75">
        <f>229+608</f>
        <v>837</v>
      </c>
      <c r="E26" s="75">
        <f>222+715</f>
        <v>937</v>
      </c>
      <c r="F26" s="75">
        <v>1025</v>
      </c>
      <c r="G26" s="76">
        <f>359+644</f>
        <v>1003</v>
      </c>
      <c r="H26" s="77"/>
      <c r="I26" s="78" t="s">
        <v>90</v>
      </c>
      <c r="J26" s="77">
        <f>F26+25</f>
        <v>1050</v>
      </c>
      <c r="K26" s="77">
        <v>1308</v>
      </c>
      <c r="L26" s="77">
        <v>1308</v>
      </c>
      <c r="M26" s="77">
        <v>1308</v>
      </c>
      <c r="N26" s="77">
        <f>354+636</f>
        <v>990</v>
      </c>
      <c r="O26" s="45" t="s">
        <v>90</v>
      </c>
      <c r="P26" s="77">
        <v>1333</v>
      </c>
      <c r="Q26" s="77">
        <v>1333</v>
      </c>
      <c r="R26" s="45" t="s">
        <v>90</v>
      </c>
      <c r="S26" s="77">
        <v>1333</v>
      </c>
      <c r="T26" s="79" t="s">
        <v>90</v>
      </c>
      <c r="U26" s="77">
        <v>1345</v>
      </c>
      <c r="V26" s="77">
        <f>375+688</f>
        <v>1063</v>
      </c>
      <c r="W26" s="45" t="s">
        <v>90</v>
      </c>
      <c r="X26" s="77">
        <f>V26+30</f>
        <v>1093</v>
      </c>
      <c r="Y26" s="80">
        <f>Y27+Y28</f>
        <v>857</v>
      </c>
      <c r="Z26" s="80">
        <f>Z27+Z28</f>
        <v>1093</v>
      </c>
      <c r="AA26" s="80">
        <f>AA27+AA28</f>
        <v>853</v>
      </c>
      <c r="AB26" s="80">
        <f t="shared" ref="AB26:AD26" si="6">AB27+AB28</f>
        <v>853</v>
      </c>
      <c r="AC26" s="80">
        <f t="shared" si="6"/>
        <v>735</v>
      </c>
      <c r="AD26" s="80">
        <f t="shared" si="6"/>
        <v>839</v>
      </c>
      <c r="AE26" s="80">
        <f>AB26+10</f>
        <v>863</v>
      </c>
      <c r="AF26" s="80">
        <f>AE26+20</f>
        <v>883</v>
      </c>
      <c r="AG26" s="80">
        <f>AF26+20</f>
        <v>903</v>
      </c>
      <c r="AH26" s="80">
        <f>AG26+20</f>
        <v>923</v>
      </c>
      <c r="AI26" s="159" t="s">
        <v>204</v>
      </c>
      <c r="AJ26" s="46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</row>
    <row r="27" spans="1:82" s="8" customFormat="1" ht="15" customHeight="1">
      <c r="A27" s="165"/>
      <c r="B27" s="81" t="s">
        <v>127</v>
      </c>
      <c r="C27" s="74" t="s">
        <v>73</v>
      </c>
      <c r="D27" s="75">
        <v>671</v>
      </c>
      <c r="E27" s="75">
        <v>697</v>
      </c>
      <c r="F27" s="75">
        <v>675</v>
      </c>
      <c r="G27" s="76">
        <v>644</v>
      </c>
      <c r="H27" s="77"/>
      <c r="I27" s="78" t="s">
        <v>90</v>
      </c>
      <c r="J27" s="77">
        <v>685</v>
      </c>
      <c r="K27" s="77">
        <v>850</v>
      </c>
      <c r="L27" s="77">
        <v>850</v>
      </c>
      <c r="M27" s="77">
        <v>850</v>
      </c>
      <c r="N27" s="77">
        <v>636</v>
      </c>
      <c r="O27" s="45" t="s">
        <v>90</v>
      </c>
      <c r="P27" s="77">
        <v>870</v>
      </c>
      <c r="Q27" s="77">
        <v>870</v>
      </c>
      <c r="R27" s="45" t="s">
        <v>90</v>
      </c>
      <c r="S27" s="77">
        <v>870</v>
      </c>
      <c r="T27" s="79" t="s">
        <v>90</v>
      </c>
      <c r="U27" s="77">
        <v>870</v>
      </c>
      <c r="V27" s="77">
        <v>688</v>
      </c>
      <c r="W27" s="45" t="s">
        <v>90</v>
      </c>
      <c r="X27" s="77">
        <f>V27+20</f>
        <v>708</v>
      </c>
      <c r="Y27" s="77">
        <v>585</v>
      </c>
      <c r="Z27" s="77">
        <f>X27</f>
        <v>708</v>
      </c>
      <c r="AA27" s="77">
        <v>577</v>
      </c>
      <c r="AB27" s="77">
        <v>577</v>
      </c>
      <c r="AC27" s="77">
        <v>570</v>
      </c>
      <c r="AD27" s="77">
        <v>587</v>
      </c>
      <c r="AE27" s="77">
        <f>AD27+10</f>
        <v>597</v>
      </c>
      <c r="AF27" s="77">
        <f>AE27+15</f>
        <v>612</v>
      </c>
      <c r="AG27" s="77">
        <f>AF27+15</f>
        <v>627</v>
      </c>
      <c r="AH27" s="77">
        <f>AG27+15</f>
        <v>642</v>
      </c>
      <c r="AI27" s="160"/>
      <c r="AJ27" s="46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</row>
    <row r="28" spans="1:82" s="8" customFormat="1" ht="15" customHeight="1">
      <c r="A28" s="166"/>
      <c r="B28" s="81" t="s">
        <v>128</v>
      </c>
      <c r="C28" s="74" t="s">
        <v>73</v>
      </c>
      <c r="D28" s="83"/>
      <c r="E28" s="84"/>
      <c r="F28" s="84"/>
      <c r="G28" s="85"/>
      <c r="H28" s="84"/>
      <c r="I28" s="78"/>
      <c r="J28" s="84"/>
      <c r="K28" s="84"/>
      <c r="L28" s="84"/>
      <c r="M28" s="84"/>
      <c r="N28" s="84">
        <v>354</v>
      </c>
      <c r="O28" s="45"/>
      <c r="P28" s="84"/>
      <c r="Q28" s="84"/>
      <c r="R28" s="45"/>
      <c r="S28" s="84"/>
      <c r="T28" s="78"/>
      <c r="U28" s="84"/>
      <c r="V28" s="84">
        <v>375</v>
      </c>
      <c r="W28" s="45" t="s">
        <v>90</v>
      </c>
      <c r="X28" s="80">
        <f>V28+10</f>
        <v>385</v>
      </c>
      <c r="Y28" s="84">
        <v>272</v>
      </c>
      <c r="Z28" s="84">
        <f>X28</f>
        <v>385</v>
      </c>
      <c r="AA28" s="84">
        <v>276</v>
      </c>
      <c r="AB28" s="84">
        <v>276</v>
      </c>
      <c r="AC28" s="84">
        <v>165</v>
      </c>
      <c r="AD28" s="84">
        <v>252</v>
      </c>
      <c r="AE28" s="84">
        <f>AE26-AE27</f>
        <v>266</v>
      </c>
      <c r="AF28" s="84">
        <f t="shared" ref="AF28:AH28" si="7">AF26-AF27</f>
        <v>271</v>
      </c>
      <c r="AG28" s="84">
        <f t="shared" si="7"/>
        <v>276</v>
      </c>
      <c r="AH28" s="84">
        <f t="shared" si="7"/>
        <v>281</v>
      </c>
      <c r="AI28" s="161"/>
      <c r="AJ28" s="46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</row>
    <row r="29" spans="1:82" s="8" customFormat="1" ht="45">
      <c r="A29" s="82" t="s">
        <v>35</v>
      </c>
      <c r="B29" s="73" t="s">
        <v>129</v>
      </c>
      <c r="C29" s="74" t="s">
        <v>73</v>
      </c>
      <c r="D29" s="86"/>
      <c r="E29" s="86"/>
      <c r="F29" s="86"/>
      <c r="G29" s="86"/>
      <c r="H29" s="87"/>
      <c r="I29" s="88"/>
      <c r="J29" s="86"/>
      <c r="K29" s="86"/>
      <c r="L29" s="86"/>
      <c r="M29" s="86"/>
      <c r="N29" s="60">
        <v>50</v>
      </c>
      <c r="O29" s="89"/>
      <c r="P29" s="60"/>
      <c r="Q29" s="60"/>
      <c r="R29" s="89"/>
      <c r="S29" s="60"/>
      <c r="T29" s="89"/>
      <c r="U29" s="60"/>
      <c r="V29" s="60">
        <v>60</v>
      </c>
      <c r="W29" s="45" t="s">
        <v>90</v>
      </c>
      <c r="X29" s="60">
        <v>58</v>
      </c>
      <c r="Y29" s="45" t="s">
        <v>164</v>
      </c>
      <c r="Z29" s="60">
        <f>V29/V27*Z27</f>
        <v>61.744186046511629</v>
      </c>
      <c r="AA29" s="90">
        <v>78</v>
      </c>
      <c r="AB29" s="60">
        <v>78</v>
      </c>
      <c r="AC29" s="45" t="s">
        <v>90</v>
      </c>
      <c r="AD29" s="45" t="s">
        <v>187</v>
      </c>
      <c r="AE29" s="60">
        <f>(82-78)+82</f>
        <v>86</v>
      </c>
      <c r="AF29" s="60">
        <f>AE29/AE27*AF27</f>
        <v>88.1608040201005</v>
      </c>
      <c r="AG29" s="60">
        <f t="shared" ref="AG29:AH29" si="8">AF29/AF27*AG27</f>
        <v>90.321608040201014</v>
      </c>
      <c r="AH29" s="60">
        <f t="shared" si="8"/>
        <v>92.482412060301513</v>
      </c>
      <c r="AI29" s="52" t="s">
        <v>188</v>
      </c>
      <c r="AJ29" s="46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</row>
    <row r="30" spans="1:82" s="8" customFormat="1" ht="51">
      <c r="A30" s="164" t="s">
        <v>36</v>
      </c>
      <c r="B30" s="39" t="s">
        <v>69</v>
      </c>
      <c r="C30" s="39" t="s">
        <v>27</v>
      </c>
      <c r="D30" s="55">
        <v>1379.9</v>
      </c>
      <c r="E30" s="55">
        <f>PRODUCT(D30*1.055)</f>
        <v>1455.7945</v>
      </c>
      <c r="F30" s="55">
        <f>PRODUCT(E30*1.062)</f>
        <v>1546.0537590000001</v>
      </c>
      <c r="G30" s="55">
        <f>PRODUCT(E30*1.062)</f>
        <v>1546.0537590000001</v>
      </c>
      <c r="H30" s="91" t="s">
        <v>77</v>
      </c>
      <c r="I30" s="88" t="s">
        <v>90</v>
      </c>
      <c r="J30" s="55">
        <f>PRODUCT(F30*1.068)</f>
        <v>1651.1854146120002</v>
      </c>
      <c r="K30" s="55">
        <f>F30*1.067</f>
        <v>1649.639360853</v>
      </c>
      <c r="L30" s="55">
        <f>F30*1.067</f>
        <v>1649.639360853</v>
      </c>
      <c r="M30" s="55">
        <f>F30*1.067</f>
        <v>1649.639360853</v>
      </c>
      <c r="N30" s="55">
        <f>G30*1.067</f>
        <v>1649.639360853</v>
      </c>
      <c r="O30" s="45" t="s">
        <v>90</v>
      </c>
      <c r="P30" s="55">
        <f>PRODUCT(K30*1.051)</f>
        <v>1733.7709682565028</v>
      </c>
      <c r="Q30" s="55">
        <f>K30*1.051</f>
        <v>1733.7709682565028</v>
      </c>
      <c r="R30" s="45" t="s">
        <v>90</v>
      </c>
      <c r="S30" s="55">
        <f>L30*1.051</f>
        <v>1733.7709682565028</v>
      </c>
      <c r="T30" s="78" t="s">
        <v>90</v>
      </c>
      <c r="U30" s="55">
        <f>M30*1.051</f>
        <v>1733.7709682565028</v>
      </c>
      <c r="V30" s="55">
        <f>N30*1.1535</f>
        <v>1902.8590027439354</v>
      </c>
      <c r="W30" s="45" t="s">
        <v>90</v>
      </c>
      <c r="X30" s="55">
        <f>V30*1.064</f>
        <v>2024.6419789195475</v>
      </c>
      <c r="Y30" s="45" t="s">
        <v>90</v>
      </c>
      <c r="Z30" s="55">
        <f>V30*Z36/100</f>
        <v>2045.5734279497306</v>
      </c>
      <c r="AA30" s="55" t="s">
        <v>172</v>
      </c>
      <c r="AB30" s="55" t="s">
        <v>214</v>
      </c>
      <c r="AC30" s="45" t="s">
        <v>90</v>
      </c>
      <c r="AD30" s="45" t="s">
        <v>90</v>
      </c>
      <c r="AE30" s="55">
        <f>V30*AB36*AE36/10000</f>
        <v>2081.8266976700083</v>
      </c>
      <c r="AF30" s="55">
        <f>AE30*AF36/100</f>
        <v>2165.0997655768087</v>
      </c>
      <c r="AG30" s="55">
        <f>AF30*AG36/100</f>
        <v>2251.7037561998809</v>
      </c>
      <c r="AH30" s="55">
        <f>AG30*AH36/100</f>
        <v>2341.7719064478761</v>
      </c>
      <c r="AI30" s="52" t="s">
        <v>222</v>
      </c>
      <c r="AJ30" s="46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</row>
    <row r="31" spans="1:82" ht="17.25" customHeight="1">
      <c r="A31" s="173"/>
      <c r="B31" s="39" t="s">
        <v>70</v>
      </c>
      <c r="C31" s="39" t="s">
        <v>27</v>
      </c>
      <c r="D31" s="55"/>
      <c r="E31" s="55"/>
      <c r="F31" s="55"/>
      <c r="G31" s="55"/>
      <c r="H31" s="55"/>
      <c r="I31" s="88" t="s">
        <v>90</v>
      </c>
      <c r="J31" s="55"/>
      <c r="K31" s="55"/>
      <c r="L31" s="55"/>
      <c r="M31" s="55"/>
      <c r="N31" s="55"/>
      <c r="O31" s="45" t="s">
        <v>90</v>
      </c>
      <c r="P31" s="55"/>
      <c r="Q31" s="55"/>
      <c r="R31" s="45" t="s">
        <v>90</v>
      </c>
      <c r="S31" s="55"/>
      <c r="T31" s="78" t="s">
        <v>90</v>
      </c>
      <c r="U31" s="55"/>
      <c r="V31" s="55"/>
      <c r="W31" s="55"/>
      <c r="X31" s="92"/>
      <c r="Y31" s="92"/>
      <c r="Z31" s="92"/>
      <c r="AA31" s="92"/>
      <c r="AB31" s="92"/>
      <c r="AC31" s="92"/>
      <c r="AD31" s="92"/>
      <c r="AE31" s="92"/>
      <c r="AF31" s="55"/>
      <c r="AG31" s="55"/>
      <c r="AH31" s="55"/>
      <c r="AI31" s="178" t="s">
        <v>223</v>
      </c>
      <c r="AJ31" s="46"/>
    </row>
    <row r="32" spans="1:82" ht="16.5" customHeight="1">
      <c r="A32" s="174"/>
      <c r="B32" s="39" t="s">
        <v>71</v>
      </c>
      <c r="C32" s="39" t="s">
        <v>27</v>
      </c>
      <c r="D32" s="55"/>
      <c r="E32" s="55"/>
      <c r="F32" s="55"/>
      <c r="G32" s="55"/>
      <c r="H32" s="55"/>
      <c r="I32" s="88" t="s">
        <v>90</v>
      </c>
      <c r="J32" s="55"/>
      <c r="K32" s="55"/>
      <c r="L32" s="55"/>
      <c r="M32" s="55"/>
      <c r="N32" s="55"/>
      <c r="O32" s="45" t="s">
        <v>90</v>
      </c>
      <c r="P32" s="55"/>
      <c r="Q32" s="55"/>
      <c r="R32" s="45" t="s">
        <v>90</v>
      </c>
      <c r="S32" s="55"/>
      <c r="T32" s="78" t="s">
        <v>90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179"/>
      <c r="AJ32" s="46"/>
    </row>
    <row r="33" spans="1:82">
      <c r="A33" s="35" t="s">
        <v>37</v>
      </c>
      <c r="B33" s="49" t="s">
        <v>38</v>
      </c>
      <c r="C33" s="93"/>
      <c r="D33" s="4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52"/>
      <c r="AJ33" s="46"/>
    </row>
    <row r="34" spans="1:82" s="8" customFormat="1" ht="45">
      <c r="A34" s="35" t="s">
        <v>39</v>
      </c>
      <c r="B34" s="39" t="s">
        <v>40</v>
      </c>
      <c r="C34" s="93" t="s">
        <v>41</v>
      </c>
      <c r="D34" s="5">
        <v>1613.5</v>
      </c>
      <c r="E34" s="5">
        <v>1791.7</v>
      </c>
      <c r="F34" s="95">
        <v>1921.3</v>
      </c>
      <c r="G34" s="95">
        <v>1921.3</v>
      </c>
      <c r="H34" s="95" t="s">
        <v>83</v>
      </c>
      <c r="I34" s="88" t="s">
        <v>90</v>
      </c>
      <c r="J34" s="95">
        <f>PRODUCT(F34*1.063)</f>
        <v>2042.3418999999999</v>
      </c>
      <c r="K34" s="55">
        <f>F34*1.067</f>
        <v>2050.0270999999998</v>
      </c>
      <c r="L34" s="96">
        <v>2293.6</v>
      </c>
      <c r="M34" s="96">
        <v>2293.6</v>
      </c>
      <c r="N34" s="96">
        <v>2293.6</v>
      </c>
      <c r="O34" s="45" t="s">
        <v>90</v>
      </c>
      <c r="P34" s="55">
        <f t="shared" ref="P34:P35" si="9">PRODUCT(K34*1.051)</f>
        <v>2154.5784820999997</v>
      </c>
      <c r="Q34" s="55">
        <f>L34*1.156</f>
        <v>2651.4015999999997</v>
      </c>
      <c r="R34" s="45" t="s">
        <v>90</v>
      </c>
      <c r="S34" s="55">
        <f>L34*1.156</f>
        <v>2651.4015999999997</v>
      </c>
      <c r="T34" s="78" t="s">
        <v>90</v>
      </c>
      <c r="U34" s="55">
        <f>M34*1.156</f>
        <v>2651.4015999999997</v>
      </c>
      <c r="V34" s="55">
        <v>2286.98</v>
      </c>
      <c r="W34" s="45" t="s">
        <v>90</v>
      </c>
      <c r="X34" s="55">
        <f>V34*1.064</f>
        <v>2433.34672</v>
      </c>
      <c r="Y34" s="45" t="s">
        <v>90</v>
      </c>
      <c r="Z34" s="55">
        <f>V34</f>
        <v>2286.98</v>
      </c>
      <c r="AA34" s="55" t="s">
        <v>170</v>
      </c>
      <c r="AB34" s="97">
        <v>3857.0309999999999</v>
      </c>
      <c r="AC34" s="45" t="s">
        <v>90</v>
      </c>
      <c r="AD34" s="45" t="s">
        <v>90</v>
      </c>
      <c r="AE34" s="55">
        <f>AB34*AB36*AE36/10000</f>
        <v>4219.7924796119996</v>
      </c>
      <c r="AF34" s="55">
        <f>AE34*AF36/100</f>
        <v>4388.58417879648</v>
      </c>
      <c r="AG34" s="55">
        <f>AF34*AG36/100</f>
        <v>4564.1275459483395</v>
      </c>
      <c r="AH34" s="55">
        <f>AG34*AH36/100</f>
        <v>4746.6926477862735</v>
      </c>
      <c r="AI34" s="52" t="s">
        <v>202</v>
      </c>
      <c r="AJ34" s="46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</row>
    <row r="35" spans="1:82" s="8" customFormat="1" ht="45">
      <c r="A35" s="35" t="s">
        <v>42</v>
      </c>
      <c r="B35" s="39" t="s">
        <v>43</v>
      </c>
      <c r="C35" s="93" t="s">
        <v>41</v>
      </c>
      <c r="D35" s="4">
        <v>345.5</v>
      </c>
      <c r="E35" s="4">
        <v>379.61</v>
      </c>
      <c r="F35" s="4">
        <v>386.4</v>
      </c>
      <c r="G35" s="4">
        <v>386.4</v>
      </c>
      <c r="H35" s="4" t="s">
        <v>81</v>
      </c>
      <c r="I35" s="88" t="s">
        <v>90</v>
      </c>
      <c r="J35" s="4">
        <f>PRODUCT(F35*1.073)</f>
        <v>414.60719999999998</v>
      </c>
      <c r="K35" s="4">
        <v>376.7</v>
      </c>
      <c r="L35" s="4">
        <v>376.72680000000003</v>
      </c>
      <c r="M35" s="4">
        <v>376.72680000000003</v>
      </c>
      <c r="N35" s="4">
        <v>376.72680000000003</v>
      </c>
      <c r="O35" s="45" t="s">
        <v>90</v>
      </c>
      <c r="P35" s="55">
        <f t="shared" si="9"/>
        <v>395.91169999999994</v>
      </c>
      <c r="Q35" s="55">
        <f>L35*1.156</f>
        <v>435.49618079999999</v>
      </c>
      <c r="R35" s="45" t="s">
        <v>90</v>
      </c>
      <c r="S35" s="55">
        <f>L35*1.156</f>
        <v>435.49618079999999</v>
      </c>
      <c r="T35" s="78" t="s">
        <v>90</v>
      </c>
      <c r="U35" s="55">
        <f>M35*1.156</f>
        <v>435.49618079999999</v>
      </c>
      <c r="V35" s="55">
        <v>486.51119999999997</v>
      </c>
      <c r="W35" s="45" t="s">
        <v>90</v>
      </c>
      <c r="X35" s="55">
        <f>V35*1.064</f>
        <v>517.64791679999996</v>
      </c>
      <c r="Y35" s="45" t="s">
        <v>90</v>
      </c>
      <c r="Z35" s="55">
        <f>V35*Z36/100</f>
        <v>522.99954000000002</v>
      </c>
      <c r="AA35" s="55" t="s">
        <v>171</v>
      </c>
      <c r="AB35" s="97">
        <v>497.65730000000002</v>
      </c>
      <c r="AC35" s="45" t="s">
        <v>90</v>
      </c>
      <c r="AD35" s="45" t="s">
        <v>90</v>
      </c>
      <c r="AE35" s="55">
        <f>AB35*AB36*AE36/10000</f>
        <v>544.46296437959995</v>
      </c>
      <c r="AF35" s="55">
        <f>AE35*AF36/100</f>
        <v>566.24148295478392</v>
      </c>
      <c r="AG35" s="55">
        <f>AF35*AG36/100</f>
        <v>588.89114227297523</v>
      </c>
      <c r="AH35" s="55">
        <f>AG35*AH36/100</f>
        <v>612.44678796389428</v>
      </c>
      <c r="AI35" s="52" t="s">
        <v>202</v>
      </c>
      <c r="AJ35" s="4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</row>
    <row r="36" spans="1:82" s="8" customFormat="1" ht="46.5" customHeight="1">
      <c r="A36" s="35" t="s">
        <v>44</v>
      </c>
      <c r="B36" s="39" t="s">
        <v>130</v>
      </c>
      <c r="C36" s="93" t="s">
        <v>124</v>
      </c>
      <c r="D36" s="4"/>
      <c r="E36" s="4"/>
      <c r="F36" s="4"/>
      <c r="G36" s="4"/>
      <c r="H36" s="4"/>
      <c r="I36" s="88"/>
      <c r="J36" s="4"/>
      <c r="K36" s="55"/>
      <c r="L36" s="55"/>
      <c r="M36" s="55"/>
      <c r="N36" s="55">
        <v>109.71</v>
      </c>
      <c r="O36" s="96"/>
      <c r="P36" s="55"/>
      <c r="Q36" s="55"/>
      <c r="R36" s="96"/>
      <c r="S36" s="55"/>
      <c r="T36" s="96"/>
      <c r="U36" s="55"/>
      <c r="V36" s="55">
        <v>115.35</v>
      </c>
      <c r="W36" s="45">
        <v>111.71</v>
      </c>
      <c r="X36" s="55"/>
      <c r="Y36" s="86" t="s">
        <v>163</v>
      </c>
      <c r="Z36" s="55">
        <v>107.5</v>
      </c>
      <c r="AA36" s="55">
        <v>105.4</v>
      </c>
      <c r="AB36" s="55">
        <v>105.4</v>
      </c>
      <c r="AC36" s="55">
        <v>104.4</v>
      </c>
      <c r="AD36" s="55">
        <v>103</v>
      </c>
      <c r="AE36" s="55">
        <v>103.8</v>
      </c>
      <c r="AF36" s="55">
        <v>104</v>
      </c>
      <c r="AG36" s="55">
        <v>104</v>
      </c>
      <c r="AH36" s="55">
        <v>104</v>
      </c>
      <c r="AI36" s="52" t="s">
        <v>197</v>
      </c>
      <c r="AJ36" s="46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</row>
    <row r="37" spans="1:82" ht="28.5">
      <c r="A37" s="35" t="s">
        <v>45</v>
      </c>
      <c r="B37" s="98" t="s">
        <v>131</v>
      </c>
      <c r="C37" s="93"/>
      <c r="D37" s="44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55"/>
      <c r="V37" s="55"/>
      <c r="W37" s="55"/>
      <c r="X37" s="92"/>
      <c r="Y37" s="92"/>
      <c r="Z37" s="92"/>
      <c r="AA37" s="92"/>
      <c r="AB37" s="92"/>
      <c r="AC37" s="92"/>
      <c r="AD37" s="92"/>
      <c r="AE37" s="92"/>
      <c r="AF37" s="99"/>
      <c r="AG37" s="99"/>
      <c r="AH37" s="99"/>
      <c r="AI37" s="50"/>
      <c r="AJ37" s="46"/>
    </row>
    <row r="38" spans="1:82" s="8" customFormat="1" ht="99" customHeight="1">
      <c r="A38" s="35" t="s">
        <v>46</v>
      </c>
      <c r="B38" s="39" t="s">
        <v>132</v>
      </c>
      <c r="C38" s="93" t="s">
        <v>73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>
        <v>425</v>
      </c>
      <c r="O38" s="45"/>
      <c r="P38" s="84"/>
      <c r="Q38" s="84"/>
      <c r="R38" s="45"/>
      <c r="S38" s="84"/>
      <c r="T38" s="45"/>
      <c r="U38" s="84"/>
      <c r="V38" s="77">
        <v>416</v>
      </c>
      <c r="W38" s="45" t="s">
        <v>90</v>
      </c>
      <c r="X38" s="45" t="s">
        <v>90</v>
      </c>
      <c r="Y38" s="84">
        <v>404</v>
      </c>
      <c r="Z38" s="84">
        <f>Y38+2</f>
        <v>406</v>
      </c>
      <c r="AA38" s="84">
        <v>401</v>
      </c>
      <c r="AB38" s="84">
        <f t="shared" ref="AB38:AB51" si="10">AA38</f>
        <v>401</v>
      </c>
      <c r="AC38" s="45" t="s">
        <v>90</v>
      </c>
      <c r="AD38" s="78">
        <f>AD40</f>
        <v>400</v>
      </c>
      <c r="AE38" s="78">
        <f t="shared" ref="AE38:AH38" si="11">AE40</f>
        <v>396</v>
      </c>
      <c r="AF38" s="78">
        <f t="shared" si="11"/>
        <v>393</v>
      </c>
      <c r="AG38" s="78">
        <f t="shared" si="11"/>
        <v>386</v>
      </c>
      <c r="AH38" s="78">
        <f t="shared" si="11"/>
        <v>382</v>
      </c>
      <c r="AI38" s="29" t="s">
        <v>210</v>
      </c>
      <c r="AJ38" s="46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</row>
    <row r="39" spans="1:82" s="9" customFormat="1" hidden="1" outlineLevel="1">
      <c r="A39" s="100"/>
      <c r="B39" s="101" t="s">
        <v>190</v>
      </c>
      <c r="C39" s="102" t="s">
        <v>73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  <c r="P39" s="103"/>
      <c r="Q39" s="103"/>
      <c r="R39" s="104"/>
      <c r="S39" s="103"/>
      <c r="T39" s="104"/>
      <c r="U39" s="103"/>
      <c r="V39" s="105"/>
      <c r="W39" s="104"/>
      <c r="X39" s="104"/>
      <c r="Y39" s="103"/>
      <c r="Z39" s="103"/>
      <c r="AA39" s="103">
        <v>6</v>
      </c>
      <c r="AB39" s="103">
        <v>6</v>
      </c>
      <c r="AC39" s="104"/>
      <c r="AD39" s="103">
        <v>6</v>
      </c>
      <c r="AE39" s="103">
        <v>6</v>
      </c>
      <c r="AF39" s="103">
        <v>6</v>
      </c>
      <c r="AG39" s="103">
        <v>6</v>
      </c>
      <c r="AH39" s="103">
        <v>6</v>
      </c>
      <c r="AI39" s="106"/>
      <c r="AJ39" s="107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</row>
    <row r="40" spans="1:82" s="9" customFormat="1" ht="89.25" hidden="1" outlineLevel="1">
      <c r="A40" s="100"/>
      <c r="B40" s="101" t="s">
        <v>191</v>
      </c>
      <c r="C40" s="102" t="s">
        <v>73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103"/>
      <c r="Q40" s="103"/>
      <c r="R40" s="104"/>
      <c r="S40" s="103"/>
      <c r="T40" s="104"/>
      <c r="U40" s="103"/>
      <c r="V40" s="105"/>
      <c r="W40" s="104"/>
      <c r="X40" s="104"/>
      <c r="Y40" s="103"/>
      <c r="Z40" s="103"/>
      <c r="AA40" s="103">
        <v>401</v>
      </c>
      <c r="AB40" s="103">
        <v>401</v>
      </c>
      <c r="AC40" s="104"/>
      <c r="AD40" s="103">
        <f>AB40-1</f>
        <v>400</v>
      </c>
      <c r="AE40" s="103">
        <f>AB40-7+2</f>
        <v>396</v>
      </c>
      <c r="AF40" s="103">
        <f>AE40+6-9</f>
        <v>393</v>
      </c>
      <c r="AG40" s="103">
        <f>AF40-8+1</f>
        <v>386</v>
      </c>
      <c r="AH40" s="103">
        <f>AG40-4</f>
        <v>382</v>
      </c>
      <c r="AI40" s="106" t="s">
        <v>205</v>
      </c>
      <c r="AJ40" s="107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</row>
    <row r="41" spans="1:82" s="9" customFormat="1" ht="25.5" hidden="1" outlineLevel="1">
      <c r="A41" s="100"/>
      <c r="B41" s="101" t="s">
        <v>192</v>
      </c>
      <c r="C41" s="102" t="s">
        <v>73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3"/>
      <c r="Q41" s="103"/>
      <c r="R41" s="104"/>
      <c r="S41" s="103"/>
      <c r="T41" s="104"/>
      <c r="U41" s="103"/>
      <c r="V41" s="105"/>
      <c r="W41" s="104"/>
      <c r="X41" s="104"/>
      <c r="Y41" s="103"/>
      <c r="Z41" s="103"/>
      <c r="AA41" s="103">
        <v>827</v>
      </c>
      <c r="AB41" s="103">
        <v>827</v>
      </c>
      <c r="AC41" s="104"/>
      <c r="AD41" s="103">
        <v>827</v>
      </c>
      <c r="AE41" s="103">
        <f>827+50</f>
        <v>877</v>
      </c>
      <c r="AF41" s="103">
        <f>AE41+50</f>
        <v>927</v>
      </c>
      <c r="AG41" s="103">
        <f>AF41+50</f>
        <v>977</v>
      </c>
      <c r="AH41" s="103">
        <f>AG41+50</f>
        <v>1027</v>
      </c>
      <c r="AI41" s="106" t="s">
        <v>203</v>
      </c>
      <c r="AJ41" s="107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</row>
    <row r="42" spans="1:82" s="8" customFormat="1" ht="196.5" customHeight="1" collapsed="1">
      <c r="A42" s="35" t="s">
        <v>47</v>
      </c>
      <c r="B42" s="73" t="s">
        <v>160</v>
      </c>
      <c r="C42" s="93" t="s">
        <v>134</v>
      </c>
      <c r="D42" s="84"/>
      <c r="E42" s="84"/>
      <c r="F42" s="84"/>
      <c r="G42" s="7">
        <v>528.9</v>
      </c>
      <c r="H42" s="84"/>
      <c r="I42" s="84"/>
      <c r="J42" s="84"/>
      <c r="K42" s="84"/>
      <c r="L42" s="84"/>
      <c r="M42" s="84"/>
      <c r="N42" s="4">
        <v>560.05100000000004</v>
      </c>
      <c r="O42" s="4"/>
      <c r="P42" s="4"/>
      <c r="Q42" s="4"/>
      <c r="R42" s="4"/>
      <c r="S42" s="4"/>
      <c r="T42" s="4"/>
      <c r="U42" s="4"/>
      <c r="V42" s="4">
        <v>577.19749999999999</v>
      </c>
      <c r="W42" s="45" t="s">
        <v>90</v>
      </c>
      <c r="X42" s="45" t="s">
        <v>90</v>
      </c>
      <c r="Y42" s="4">
        <f>490.02+112.5326</f>
        <v>602.55259999999998</v>
      </c>
      <c r="Z42" s="4">
        <f>Y42+Z47-Y47</f>
        <v>615.41460000000006</v>
      </c>
      <c r="AA42" s="4">
        <v>611.1</v>
      </c>
      <c r="AB42" s="4">
        <f>SUM(AB43:AB45)/1000</f>
        <v>611.06722000000002</v>
      </c>
      <c r="AC42" s="45" t="s">
        <v>90</v>
      </c>
      <c r="AD42" s="44">
        <f t="shared" ref="AD42" si="12">SUM(AD43:AD45)/1000</f>
        <v>610.69871999999998</v>
      </c>
      <c r="AE42" s="4">
        <v>626.9</v>
      </c>
      <c r="AF42" s="7">
        <v>668.4</v>
      </c>
      <c r="AG42" s="7">
        <v>677.8</v>
      </c>
      <c r="AH42" s="7">
        <v>686.6</v>
      </c>
      <c r="AI42" s="29" t="s">
        <v>209</v>
      </c>
      <c r="AJ42" s="46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</row>
    <row r="43" spans="1:82" s="10" customFormat="1" ht="25.5" hidden="1" outlineLevel="1">
      <c r="A43" s="109"/>
      <c r="B43" s="110" t="s">
        <v>190</v>
      </c>
      <c r="C43" s="111" t="s">
        <v>59</v>
      </c>
      <c r="D43" s="112"/>
      <c r="E43" s="112"/>
      <c r="F43" s="112"/>
      <c r="G43" s="113"/>
      <c r="H43" s="112"/>
      <c r="I43" s="112"/>
      <c r="J43" s="112"/>
      <c r="K43" s="112"/>
      <c r="L43" s="112"/>
      <c r="M43" s="112"/>
      <c r="N43" s="114"/>
      <c r="O43" s="114"/>
      <c r="P43" s="114"/>
      <c r="Q43" s="114"/>
      <c r="R43" s="114"/>
      <c r="S43" s="114"/>
      <c r="T43" s="114"/>
      <c r="U43" s="114"/>
      <c r="V43" s="114"/>
      <c r="W43" s="115"/>
      <c r="X43" s="115"/>
      <c r="Y43" s="114"/>
      <c r="Z43" s="114"/>
      <c r="AA43" s="116">
        <v>5063.12</v>
      </c>
      <c r="AB43" s="117">
        <v>5063.12</v>
      </c>
      <c r="AC43" s="117"/>
      <c r="AD43" s="118">
        <f>AB43</f>
        <v>5063.12</v>
      </c>
      <c r="AE43" s="119">
        <v>5063.12</v>
      </c>
      <c r="AF43" s="119">
        <v>5063.12</v>
      </c>
      <c r="AG43" s="119">
        <v>5063.12</v>
      </c>
      <c r="AH43" s="119">
        <f>AG43</f>
        <v>5063.12</v>
      </c>
      <c r="AI43" s="106" t="s">
        <v>193</v>
      </c>
      <c r="AJ43" s="120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</row>
    <row r="44" spans="1:82" s="10" customFormat="1" ht="159" hidden="1" customHeight="1" outlineLevel="1">
      <c r="A44" s="109"/>
      <c r="B44" s="110" t="s">
        <v>191</v>
      </c>
      <c r="C44" s="111" t="s">
        <v>59</v>
      </c>
      <c r="D44" s="112"/>
      <c r="E44" s="112"/>
      <c r="F44" s="112"/>
      <c r="G44" s="113"/>
      <c r="H44" s="112"/>
      <c r="I44" s="112"/>
      <c r="J44" s="112"/>
      <c r="K44" s="112"/>
      <c r="L44" s="112"/>
      <c r="M44" s="112"/>
      <c r="N44" s="114"/>
      <c r="O44" s="114"/>
      <c r="P44" s="114"/>
      <c r="Q44" s="114"/>
      <c r="R44" s="114"/>
      <c r="S44" s="114"/>
      <c r="T44" s="114"/>
      <c r="U44" s="114"/>
      <c r="V44" s="114"/>
      <c r="W44" s="115"/>
      <c r="X44" s="115"/>
      <c r="Y44" s="114"/>
      <c r="Z44" s="114"/>
      <c r="AA44" s="116">
        <v>492182.1</v>
      </c>
      <c r="AB44" s="117">
        <v>492182.1</v>
      </c>
      <c r="AC44" s="117"/>
      <c r="AD44" s="118">
        <f>AB44-368.5</f>
        <v>491813.6</v>
      </c>
      <c r="AE44" s="119">
        <f>AB44+3591.1+5515.76-368.5-2872.5</f>
        <v>498047.95999999996</v>
      </c>
      <c r="AF44" s="119">
        <f>AE44+34908.6-3460.5</f>
        <v>529496.05999999994</v>
      </c>
      <c r="AG44" s="119">
        <f>AF44+2555-3111.4</f>
        <v>528939.65999999992</v>
      </c>
      <c r="AH44" s="119">
        <f>AG44-3259.3+896.8+311.9+793.1</f>
        <v>527682.15999999992</v>
      </c>
      <c r="AI44" s="106" t="s">
        <v>206</v>
      </c>
      <c r="AJ44" s="120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</row>
    <row r="45" spans="1:82" s="10" customFormat="1" ht="38.25" hidden="1" outlineLevel="1">
      <c r="A45" s="109"/>
      <c r="B45" s="110" t="s">
        <v>192</v>
      </c>
      <c r="C45" s="111" t="s">
        <v>59</v>
      </c>
      <c r="D45" s="112"/>
      <c r="E45" s="112"/>
      <c r="F45" s="112"/>
      <c r="G45" s="113"/>
      <c r="H45" s="112"/>
      <c r="I45" s="112"/>
      <c r="J45" s="112"/>
      <c r="K45" s="112"/>
      <c r="L45" s="112"/>
      <c r="M45" s="112"/>
      <c r="N45" s="114"/>
      <c r="O45" s="114"/>
      <c r="P45" s="114"/>
      <c r="Q45" s="114"/>
      <c r="R45" s="114"/>
      <c r="S45" s="114"/>
      <c r="T45" s="114"/>
      <c r="U45" s="114"/>
      <c r="V45" s="114"/>
      <c r="W45" s="115"/>
      <c r="X45" s="115"/>
      <c r="Y45" s="114"/>
      <c r="Z45" s="114"/>
      <c r="AA45" s="116">
        <v>113822</v>
      </c>
      <c r="AB45" s="117">
        <v>113822</v>
      </c>
      <c r="AC45" s="117"/>
      <c r="AD45" s="118">
        <f>AB45</f>
        <v>113822</v>
      </c>
      <c r="AE45" s="119">
        <f>AB45+10000</f>
        <v>123822</v>
      </c>
      <c r="AF45" s="119">
        <f>AE45+10000</f>
        <v>133822</v>
      </c>
      <c r="AG45" s="119">
        <f t="shared" ref="AG45:AH45" si="13">AF45+10000</f>
        <v>143822</v>
      </c>
      <c r="AH45" s="119">
        <f t="shared" si="13"/>
        <v>153822</v>
      </c>
      <c r="AI45" s="106" t="s">
        <v>211</v>
      </c>
      <c r="AJ45" s="120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</row>
    <row r="46" spans="1:82" s="8" customFormat="1" ht="52.5" customHeight="1" collapsed="1">
      <c r="A46" s="35" t="s">
        <v>147</v>
      </c>
      <c r="B46" s="39" t="s">
        <v>133</v>
      </c>
      <c r="C46" s="93" t="s">
        <v>134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4">
        <v>74.8</v>
      </c>
      <c r="O46" s="4"/>
      <c r="P46" s="4"/>
      <c r="Q46" s="4"/>
      <c r="R46" s="4"/>
      <c r="S46" s="4"/>
      <c r="T46" s="4"/>
      <c r="U46" s="4"/>
      <c r="V46" s="4">
        <v>76.477999999999994</v>
      </c>
      <c r="W46" s="45" t="s">
        <v>90</v>
      </c>
      <c r="X46" s="45" t="s">
        <v>90</v>
      </c>
      <c r="Y46" s="4">
        <v>83</v>
      </c>
      <c r="Z46" s="4">
        <v>83</v>
      </c>
      <c r="AA46" s="4">
        <v>81.099999999999994</v>
      </c>
      <c r="AB46" s="4">
        <v>81.099999999999994</v>
      </c>
      <c r="AC46" s="45" t="s">
        <v>90</v>
      </c>
      <c r="AD46" s="44">
        <v>80.5</v>
      </c>
      <c r="AE46" s="4">
        <f>AB46-1.6576</f>
        <v>79.442399999999992</v>
      </c>
      <c r="AF46" s="4">
        <v>81.2</v>
      </c>
      <c r="AG46" s="4">
        <f>AF46*1.02</f>
        <v>82.823999999999998</v>
      </c>
      <c r="AH46" s="4">
        <f>AG46*1.02</f>
        <v>84.48048</v>
      </c>
      <c r="AI46" s="29" t="s">
        <v>167</v>
      </c>
      <c r="AJ46" s="46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</row>
    <row r="47" spans="1:82" s="8" customFormat="1" ht="102">
      <c r="A47" s="35" t="s">
        <v>48</v>
      </c>
      <c r="B47" s="39" t="s">
        <v>135</v>
      </c>
      <c r="C47" s="93" t="s">
        <v>134</v>
      </c>
      <c r="D47" s="67"/>
      <c r="E47" s="84"/>
      <c r="F47" s="84"/>
      <c r="G47" s="84"/>
      <c r="H47" s="84"/>
      <c r="I47" s="84"/>
      <c r="J47" s="84"/>
      <c r="K47" s="84"/>
      <c r="L47" s="84"/>
      <c r="M47" s="84"/>
      <c r="N47" s="4">
        <f>(24425+21873)/1000</f>
        <v>46.298000000000002</v>
      </c>
      <c r="O47" s="4"/>
      <c r="P47" s="4"/>
      <c r="Q47" s="4"/>
      <c r="R47" s="4"/>
      <c r="S47" s="4"/>
      <c r="T47" s="4"/>
      <c r="U47" s="4"/>
      <c r="V47" s="4">
        <f>(V48+V49+V50)/1000</f>
        <v>15.271700000000001</v>
      </c>
      <c r="W47" s="44" t="s">
        <v>90</v>
      </c>
      <c r="X47" s="44" t="s">
        <v>90</v>
      </c>
      <c r="Y47" s="44">
        <v>1.3380000000000001</v>
      </c>
      <c r="Z47" s="44">
        <f>1.4+6.8+6</f>
        <v>14.2</v>
      </c>
      <c r="AA47" s="44">
        <v>14.176500000000001</v>
      </c>
      <c r="AB47" s="4">
        <f>(AB48+AB49+AB50)/1000</f>
        <v>9.611600000000001</v>
      </c>
      <c r="AC47" s="45" t="s">
        <v>90</v>
      </c>
      <c r="AD47" s="44">
        <f>AD49/1000</f>
        <v>-0.36849999999999999</v>
      </c>
      <c r="AE47" s="7">
        <f>(AE48+AE49+AE50)/1000</f>
        <v>15.865860000000001</v>
      </c>
      <c r="AF47" s="7">
        <f t="shared" ref="AF47:AH47" si="14">(AF48+AF49+AF50)/1000</f>
        <v>41.448099999999997</v>
      </c>
      <c r="AG47" s="7">
        <f t="shared" si="14"/>
        <v>9.4436</v>
      </c>
      <c r="AH47" s="7">
        <f t="shared" si="14"/>
        <v>8.7424999999999997</v>
      </c>
      <c r="AI47" s="19" t="s">
        <v>208</v>
      </c>
      <c r="AJ47" s="46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1:82" s="11" customFormat="1" hidden="1" outlineLevel="1">
      <c r="A48" s="100"/>
      <c r="B48" s="101" t="s">
        <v>190</v>
      </c>
      <c r="C48" s="102" t="s">
        <v>59</v>
      </c>
      <c r="D48" s="121"/>
      <c r="E48" s="103"/>
      <c r="F48" s="103"/>
      <c r="G48" s="103"/>
      <c r="H48" s="103"/>
      <c r="I48" s="103"/>
      <c r="J48" s="103"/>
      <c r="K48" s="103"/>
      <c r="L48" s="103"/>
      <c r="M48" s="103"/>
      <c r="N48" s="122"/>
      <c r="O48" s="122"/>
      <c r="P48" s="122"/>
      <c r="Q48" s="122"/>
      <c r="R48" s="122"/>
      <c r="S48" s="122"/>
      <c r="T48" s="122"/>
      <c r="U48" s="122"/>
      <c r="V48" s="122">
        <v>0</v>
      </c>
      <c r="W48" s="123"/>
      <c r="X48" s="123"/>
      <c r="Y48" s="123"/>
      <c r="Z48" s="123"/>
      <c r="AA48" s="123">
        <f>5063.12-2298.8</f>
        <v>2764.3199999999997</v>
      </c>
      <c r="AB48" s="123">
        <v>0</v>
      </c>
      <c r="AC48" s="104"/>
      <c r="AD48" s="123">
        <v>0</v>
      </c>
      <c r="AE48" s="123">
        <v>0</v>
      </c>
      <c r="AF48" s="122">
        <v>0</v>
      </c>
      <c r="AG48" s="122">
        <v>0</v>
      </c>
      <c r="AH48" s="122">
        <v>0</v>
      </c>
      <c r="AI48" s="106" t="s">
        <v>194</v>
      </c>
      <c r="AJ48" s="107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</row>
    <row r="49" spans="1:82" s="10" customFormat="1" ht="162" hidden="1" customHeight="1" outlineLevel="1">
      <c r="A49" s="100"/>
      <c r="B49" s="101" t="s">
        <v>191</v>
      </c>
      <c r="C49" s="102" t="s">
        <v>59</v>
      </c>
      <c r="D49" s="121"/>
      <c r="E49" s="103"/>
      <c r="F49" s="103"/>
      <c r="G49" s="103"/>
      <c r="H49" s="103"/>
      <c r="I49" s="103"/>
      <c r="J49" s="103"/>
      <c r="K49" s="103"/>
      <c r="L49" s="103"/>
      <c r="M49" s="103"/>
      <c r="N49" s="122"/>
      <c r="O49" s="122"/>
      <c r="P49" s="122"/>
      <c r="Q49" s="122"/>
      <c r="R49" s="122"/>
      <c r="S49" s="122"/>
      <c r="T49" s="122"/>
      <c r="U49" s="122"/>
      <c r="V49" s="122">
        <f>15210.7-6198</f>
        <v>9012.7000000000007</v>
      </c>
      <c r="W49" s="123"/>
      <c r="X49" s="123"/>
      <c r="Y49" s="123"/>
      <c r="Z49" s="123"/>
      <c r="AA49" s="124">
        <f>6383.7+1354.8-4564.9</f>
        <v>3173.6000000000004</v>
      </c>
      <c r="AB49" s="124">
        <f>6383.7+1354.8-4564.9</f>
        <v>3173.6000000000004</v>
      </c>
      <c r="AC49" s="104"/>
      <c r="AD49" s="123">
        <f>-368.5</f>
        <v>-368.5</v>
      </c>
      <c r="AE49" s="125">
        <f>3591.1+5515.76-2872.5-368.5</f>
        <v>5865.8600000000006</v>
      </c>
      <c r="AF49" s="126">
        <f>34908.6-3460.5</f>
        <v>31448.1</v>
      </c>
      <c r="AG49" s="126">
        <f>2555-3111.4</f>
        <v>-556.40000000000009</v>
      </c>
      <c r="AH49" s="126">
        <f>-1257.5</f>
        <v>-1257.5</v>
      </c>
      <c r="AI49" s="106" t="s">
        <v>207</v>
      </c>
      <c r="AJ49" s="107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</row>
    <row r="50" spans="1:82" s="11" customFormat="1" ht="38.25" hidden="1" outlineLevel="1">
      <c r="A50" s="100"/>
      <c r="B50" s="101" t="s">
        <v>192</v>
      </c>
      <c r="C50" s="102" t="s">
        <v>59</v>
      </c>
      <c r="D50" s="121"/>
      <c r="E50" s="103"/>
      <c r="F50" s="103"/>
      <c r="G50" s="103"/>
      <c r="H50" s="103"/>
      <c r="I50" s="103"/>
      <c r="J50" s="103"/>
      <c r="K50" s="103"/>
      <c r="L50" s="103"/>
      <c r="M50" s="103"/>
      <c r="N50" s="122"/>
      <c r="O50" s="122"/>
      <c r="P50" s="122"/>
      <c r="Q50" s="122"/>
      <c r="R50" s="122"/>
      <c r="S50" s="122"/>
      <c r="T50" s="122"/>
      <c r="U50" s="122"/>
      <c r="V50" s="122">
        <v>6259</v>
      </c>
      <c r="W50" s="123"/>
      <c r="X50" s="123"/>
      <c r="Y50" s="123"/>
      <c r="Z50" s="123"/>
      <c r="AA50" s="124">
        <v>6438</v>
      </c>
      <c r="AB50" s="124">
        <v>6438</v>
      </c>
      <c r="AC50" s="104"/>
      <c r="AD50" s="123" t="s">
        <v>178</v>
      </c>
      <c r="AE50" s="125">
        <v>10000</v>
      </c>
      <c r="AF50" s="126">
        <v>10000</v>
      </c>
      <c r="AG50" s="126">
        <v>10000</v>
      </c>
      <c r="AH50" s="126">
        <v>10000</v>
      </c>
      <c r="AI50" s="106" t="s">
        <v>212</v>
      </c>
      <c r="AJ50" s="107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</row>
    <row r="51" spans="1:82" s="8" customFormat="1" ht="90" collapsed="1">
      <c r="A51" s="35" t="s">
        <v>49</v>
      </c>
      <c r="B51" s="39" t="s">
        <v>136</v>
      </c>
      <c r="C51" s="93" t="s">
        <v>157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77">
        <v>152</v>
      </c>
      <c r="O51" s="84"/>
      <c r="P51" s="127"/>
      <c r="Q51" s="84"/>
      <c r="R51" s="84"/>
      <c r="S51" s="84"/>
      <c r="T51" s="84"/>
      <c r="U51" s="84"/>
      <c r="V51" s="77">
        <v>162</v>
      </c>
      <c r="W51" s="45" t="s">
        <v>90</v>
      </c>
      <c r="X51" s="45" t="s">
        <v>90</v>
      </c>
      <c r="Y51" s="78">
        <v>59</v>
      </c>
      <c r="Z51" s="80">
        <f>Y51+10</f>
        <v>69</v>
      </c>
      <c r="AA51" s="77">
        <f>46+68</f>
        <v>114</v>
      </c>
      <c r="AB51" s="77">
        <f t="shared" si="10"/>
        <v>114</v>
      </c>
      <c r="AC51" s="45" t="s">
        <v>90</v>
      </c>
      <c r="AD51" s="78">
        <f>2+129</f>
        <v>131</v>
      </c>
      <c r="AE51" s="80">
        <v>138</v>
      </c>
      <c r="AF51" s="84"/>
      <c r="AG51" s="84"/>
      <c r="AH51" s="84"/>
      <c r="AI51" s="128" t="s">
        <v>216</v>
      </c>
      <c r="AJ51" s="46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</row>
    <row r="52" spans="1:82" s="8" customFormat="1" ht="76.5">
      <c r="A52" s="35" t="s">
        <v>50</v>
      </c>
      <c r="B52" s="39" t="s">
        <v>138</v>
      </c>
      <c r="C52" s="93" t="s">
        <v>157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77">
        <v>1793</v>
      </c>
      <c r="O52" s="84"/>
      <c r="P52" s="127"/>
      <c r="Q52" s="84"/>
      <c r="R52" s="84"/>
      <c r="S52" s="84"/>
      <c r="T52" s="84"/>
      <c r="U52" s="84"/>
      <c r="V52" s="77">
        <v>1583</v>
      </c>
      <c r="W52" s="45" t="s">
        <v>90</v>
      </c>
      <c r="X52" s="45" t="s">
        <v>90</v>
      </c>
      <c r="Y52" s="78">
        <f>V52+59-212</f>
        <v>1430</v>
      </c>
      <c r="Z52" s="80">
        <f>Y52+10-70</f>
        <v>1370</v>
      </c>
      <c r="AA52" s="77">
        <f>1332+809</f>
        <v>2141</v>
      </c>
      <c r="AB52" s="77">
        <f>1332+809</f>
        <v>2141</v>
      </c>
      <c r="AC52" s="45" t="s">
        <v>90</v>
      </c>
      <c r="AD52" s="78">
        <f>1150+941</f>
        <v>2091</v>
      </c>
      <c r="AE52" s="78">
        <f>1150+941+3</f>
        <v>2094</v>
      </c>
      <c r="AF52" s="84"/>
      <c r="AG52" s="84"/>
      <c r="AH52" s="84"/>
      <c r="AI52" s="29" t="s">
        <v>217</v>
      </c>
      <c r="AJ52" s="46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</row>
    <row r="53" spans="1:82" s="8" customFormat="1" ht="102">
      <c r="A53" s="35" t="s">
        <v>137</v>
      </c>
      <c r="B53" s="39" t="s">
        <v>58</v>
      </c>
      <c r="C53" s="93" t="s">
        <v>59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4">
        <v>23.4</v>
      </c>
      <c r="O53" s="4">
        <f t="shared" ref="O53:AH53" si="15">O42/O10</f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23.814725419812685</v>
      </c>
      <c r="W53" s="45" t="s">
        <v>90</v>
      </c>
      <c r="X53" s="45" t="s">
        <v>90</v>
      </c>
      <c r="Y53" s="4">
        <f t="shared" si="15"/>
        <v>24.290599048617267</v>
      </c>
      <c r="Z53" s="4">
        <f t="shared" si="15"/>
        <v>24.809102636458924</v>
      </c>
      <c r="AA53" s="4">
        <f t="shared" si="15"/>
        <v>24.846513519007932</v>
      </c>
      <c r="AB53" s="4">
        <f t="shared" si="15"/>
        <v>24.840130894308942</v>
      </c>
      <c r="AC53" s="45" t="s">
        <v>90</v>
      </c>
      <c r="AD53" s="4">
        <f t="shared" si="15"/>
        <v>24.825151219512193</v>
      </c>
      <c r="AE53" s="4">
        <f t="shared" si="15"/>
        <v>25.214173671721031</v>
      </c>
      <c r="AF53" s="4">
        <f t="shared" si="15"/>
        <v>26.46185518033176</v>
      </c>
      <c r="AG53" s="4">
        <f t="shared" si="15"/>
        <v>26.46622413119875</v>
      </c>
      <c r="AH53" s="4">
        <f t="shared" si="15"/>
        <v>26.472856261566935</v>
      </c>
      <c r="AI53" s="29" t="s">
        <v>213</v>
      </c>
      <c r="AJ53" s="46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</row>
    <row r="54" spans="1:82" ht="28.5">
      <c r="A54" s="129" t="s">
        <v>51</v>
      </c>
      <c r="B54" s="49" t="s">
        <v>139</v>
      </c>
      <c r="C54" s="9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27"/>
      <c r="Q54" s="84"/>
      <c r="R54" s="84"/>
      <c r="S54" s="84"/>
      <c r="T54" s="84"/>
      <c r="U54" s="84"/>
      <c r="V54" s="84"/>
      <c r="W54" s="84"/>
      <c r="X54" s="78"/>
      <c r="Y54" s="78"/>
      <c r="Z54" s="78"/>
      <c r="AA54" s="78"/>
      <c r="AB54" s="78"/>
      <c r="AC54" s="78"/>
      <c r="AD54" s="78"/>
      <c r="AE54" s="78"/>
      <c r="AF54" s="84"/>
      <c r="AG54" s="84"/>
      <c r="AH54" s="84"/>
      <c r="AI54" s="29"/>
      <c r="AJ54" s="46"/>
    </row>
    <row r="55" spans="1:82" s="8" customFormat="1" ht="45">
      <c r="A55" s="164" t="s">
        <v>53</v>
      </c>
      <c r="B55" s="39" t="s">
        <v>140</v>
      </c>
      <c r="C55" s="93" t="s">
        <v>146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63">
        <f>N56+N57</f>
        <v>3040724.8</v>
      </c>
      <c r="O55" s="63">
        <f t="shared" ref="O55:AH55" si="16">O56+O57</f>
        <v>0</v>
      </c>
      <c r="P55" s="63">
        <f t="shared" si="16"/>
        <v>0</v>
      </c>
      <c r="Q55" s="63">
        <f t="shared" si="16"/>
        <v>0</v>
      </c>
      <c r="R55" s="63">
        <f t="shared" si="16"/>
        <v>0</v>
      </c>
      <c r="S55" s="63">
        <f t="shared" si="16"/>
        <v>0</v>
      </c>
      <c r="T55" s="63">
        <f t="shared" si="16"/>
        <v>0</v>
      </c>
      <c r="U55" s="63">
        <f t="shared" si="16"/>
        <v>0</v>
      </c>
      <c r="V55" s="63">
        <f t="shared" si="16"/>
        <v>2561620</v>
      </c>
      <c r="W55" s="45" t="s">
        <v>90</v>
      </c>
      <c r="X55" s="45" t="s">
        <v>90</v>
      </c>
      <c r="Y55" s="63">
        <f t="shared" si="16"/>
        <v>478169.5</v>
      </c>
      <c r="Z55" s="63">
        <f t="shared" si="16"/>
        <v>668022.5</v>
      </c>
      <c r="AA55" s="63">
        <f t="shared" si="16"/>
        <v>680298.5</v>
      </c>
      <c r="AB55" s="4">
        <f t="shared" ref="AB55:AB63" si="17">AA55</f>
        <v>680298.5</v>
      </c>
      <c r="AC55" s="45" t="s">
        <v>90</v>
      </c>
      <c r="AD55" s="63">
        <f t="shared" si="16"/>
        <v>490163.60000000003</v>
      </c>
      <c r="AE55" s="63">
        <f t="shared" si="16"/>
        <v>830544.1</v>
      </c>
      <c r="AF55" s="63">
        <f t="shared" si="16"/>
        <v>694693.2</v>
      </c>
      <c r="AG55" s="63">
        <f t="shared" si="16"/>
        <v>687386.4</v>
      </c>
      <c r="AH55" s="63">
        <f t="shared" si="16"/>
        <v>694455.6</v>
      </c>
      <c r="AI55" s="175" t="s">
        <v>176</v>
      </c>
      <c r="AJ55" s="46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</row>
    <row r="56" spans="1:82" s="8" customFormat="1" ht="47.25" customHeight="1">
      <c r="A56" s="173"/>
      <c r="B56" s="39" t="s">
        <v>141</v>
      </c>
      <c r="C56" s="93" t="s">
        <v>146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63">
        <v>638507.30000000005</v>
      </c>
      <c r="O56" s="130"/>
      <c r="P56" s="130"/>
      <c r="Q56" s="130"/>
      <c r="R56" s="130"/>
      <c r="S56" s="130"/>
      <c r="T56" s="130"/>
      <c r="U56" s="130"/>
      <c r="V56" s="63">
        <v>667658</v>
      </c>
      <c r="W56" s="45" t="s">
        <v>90</v>
      </c>
      <c r="X56" s="45" t="s">
        <v>90</v>
      </c>
      <c r="Y56" s="131">
        <v>457550.5</v>
      </c>
      <c r="Z56" s="63">
        <v>628545</v>
      </c>
      <c r="AA56" s="69">
        <v>635067.80000000005</v>
      </c>
      <c r="AB56" s="4">
        <f t="shared" si="17"/>
        <v>635067.80000000005</v>
      </c>
      <c r="AC56" s="45" t="s">
        <v>90</v>
      </c>
      <c r="AD56" s="45">
        <v>414268.9</v>
      </c>
      <c r="AE56" s="63">
        <v>586392</v>
      </c>
      <c r="AF56" s="63">
        <v>591615</v>
      </c>
      <c r="AG56" s="130">
        <v>597484</v>
      </c>
      <c r="AH56" s="130">
        <v>605931</v>
      </c>
      <c r="AI56" s="160"/>
      <c r="AJ56" s="46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</row>
    <row r="57" spans="1:82" s="8" customFormat="1" ht="28.5" customHeight="1">
      <c r="A57" s="174"/>
      <c r="B57" s="39" t="s">
        <v>142</v>
      </c>
      <c r="C57" s="93" t="s">
        <v>146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130">
        <v>2402217.5</v>
      </c>
      <c r="O57" s="130"/>
      <c r="P57" s="130"/>
      <c r="Q57" s="130"/>
      <c r="R57" s="130"/>
      <c r="S57" s="130"/>
      <c r="T57" s="130"/>
      <c r="U57" s="130"/>
      <c r="V57" s="130">
        <v>1893962</v>
      </c>
      <c r="W57" s="45" t="s">
        <v>90</v>
      </c>
      <c r="X57" s="45" t="s">
        <v>90</v>
      </c>
      <c r="Y57" s="131">
        <v>20619</v>
      </c>
      <c r="Z57" s="131">
        <f>Y57+(23000-4577)+(1310.9-1075.4)+200</f>
        <v>39477.5</v>
      </c>
      <c r="AA57" s="131">
        <v>45230.7</v>
      </c>
      <c r="AB57" s="4">
        <f t="shared" si="17"/>
        <v>45230.7</v>
      </c>
      <c r="AC57" s="45" t="s">
        <v>90</v>
      </c>
      <c r="AD57" s="45">
        <v>75894.7</v>
      </c>
      <c r="AE57" s="131">
        <f>248435.4-4283.3</f>
        <v>244152.1</v>
      </c>
      <c r="AF57" s="130">
        <v>103078.2</v>
      </c>
      <c r="AG57" s="130">
        <v>89902.399999999994</v>
      </c>
      <c r="AH57" s="130">
        <v>88524.6</v>
      </c>
      <c r="AI57" s="161"/>
      <c r="AJ57" s="46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</row>
    <row r="58" spans="1:82" s="8" customFormat="1" ht="81.75" customHeight="1">
      <c r="A58" s="35" t="s">
        <v>56</v>
      </c>
      <c r="B58" s="39" t="s">
        <v>143</v>
      </c>
      <c r="C58" s="93" t="s">
        <v>146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130">
        <f t="shared" ref="N58:V58" si="18">N59/N10/1000</f>
        <v>7.9050354532009299</v>
      </c>
      <c r="O58" s="130">
        <f t="shared" si="18"/>
        <v>0</v>
      </c>
      <c r="P58" s="130">
        <f t="shared" si="18"/>
        <v>0</v>
      </c>
      <c r="Q58" s="130">
        <f t="shared" si="18"/>
        <v>0</v>
      </c>
      <c r="R58" s="130">
        <f t="shared" si="18"/>
        <v>0</v>
      </c>
      <c r="S58" s="130">
        <f t="shared" si="18"/>
        <v>0</v>
      </c>
      <c r="T58" s="130">
        <f t="shared" si="18"/>
        <v>0</v>
      </c>
      <c r="U58" s="130">
        <f t="shared" si="18"/>
        <v>0</v>
      </c>
      <c r="V58" s="130">
        <f t="shared" si="18"/>
        <v>7.9670300367207174</v>
      </c>
      <c r="W58" s="96" t="s">
        <v>90</v>
      </c>
      <c r="X58" s="96" t="s">
        <v>90</v>
      </c>
      <c r="Y58" s="130">
        <f>Y59/Y10/1000</f>
        <v>5.4761360961057806</v>
      </c>
      <c r="Z58" s="130">
        <f>Z59/Z10/1000</f>
        <v>7.7686156575022167</v>
      </c>
      <c r="AA58" s="130">
        <f t="shared" ref="AA58:AE58" si="19">AA59/AA10/1000</f>
        <v>6.6424857897946739</v>
      </c>
      <c r="AB58" s="4">
        <f t="shared" si="17"/>
        <v>6.6424857897946739</v>
      </c>
      <c r="AC58" s="45" t="s">
        <v>90</v>
      </c>
      <c r="AD58" s="130">
        <f t="shared" si="19"/>
        <v>5.5461776829268281</v>
      </c>
      <c r="AE58" s="130">
        <f t="shared" si="19"/>
        <v>7.3756051160358771</v>
      </c>
      <c r="AF58" s="130">
        <f>AF59/AF10/1000</f>
        <v>7.4113306148303568</v>
      </c>
      <c r="AG58" s="130">
        <f>AG59/AG10/1000</f>
        <v>7.3171925029285427</v>
      </c>
      <c r="AH58" s="130">
        <f>AH59/AH10/1000</f>
        <v>7.2252197717458353</v>
      </c>
      <c r="AI58" s="175" t="s">
        <v>221</v>
      </c>
      <c r="AJ58" s="46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</row>
    <row r="59" spans="1:82" s="8" customFormat="1" ht="45" outlineLevel="1">
      <c r="A59" s="35"/>
      <c r="B59" s="39" t="s">
        <v>144</v>
      </c>
      <c r="C59" s="93" t="s">
        <v>146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63">
        <v>187072.66399999999</v>
      </c>
      <c r="O59" s="130"/>
      <c r="P59" s="130"/>
      <c r="Q59" s="130"/>
      <c r="R59" s="130"/>
      <c r="S59" s="130"/>
      <c r="T59" s="130"/>
      <c r="U59" s="130"/>
      <c r="V59" s="63">
        <v>193096.90700000001</v>
      </c>
      <c r="W59" s="96" t="s">
        <v>90</v>
      </c>
      <c r="X59" s="96" t="s">
        <v>90</v>
      </c>
      <c r="Y59" s="131">
        <v>135841.03200000001</v>
      </c>
      <c r="Z59" s="63">
        <v>192708.28</v>
      </c>
      <c r="AA59" s="63">
        <v>163371.93799999999</v>
      </c>
      <c r="AB59" s="55">
        <f t="shared" si="17"/>
        <v>163371.93799999999</v>
      </c>
      <c r="AC59" s="96" t="s">
        <v>90</v>
      </c>
      <c r="AD59" s="96">
        <v>136435.97099999999</v>
      </c>
      <c r="AE59" s="63">
        <v>183379.67</v>
      </c>
      <c r="AF59" s="63">
        <v>187202.8</v>
      </c>
      <c r="AG59" s="130">
        <v>187393.3</v>
      </c>
      <c r="AH59" s="130">
        <v>187393.3</v>
      </c>
      <c r="AI59" s="161"/>
      <c r="AJ59" s="46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1:82">
      <c r="A60" s="35" t="s">
        <v>145</v>
      </c>
      <c r="B60" s="49" t="s">
        <v>52</v>
      </c>
      <c r="C60" s="93"/>
      <c r="D60" s="7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50"/>
      <c r="AJ60" s="46"/>
    </row>
    <row r="61" spans="1:82" s="8" customFormat="1" ht="30">
      <c r="A61" s="35" t="s">
        <v>151</v>
      </c>
      <c r="B61" s="39" t="s">
        <v>54</v>
      </c>
      <c r="C61" s="93" t="s">
        <v>55</v>
      </c>
      <c r="D61" s="5">
        <f>42.6572*100</f>
        <v>4265.72</v>
      </c>
      <c r="E61" s="5">
        <f>42.6572*100</f>
        <v>4265.72</v>
      </c>
      <c r="F61" s="5">
        <f t="shared" ref="F61:J61" si="20">42.6572*100</f>
        <v>4265.72</v>
      </c>
      <c r="G61" s="5">
        <f t="shared" si="20"/>
        <v>4265.72</v>
      </c>
      <c r="H61" s="5">
        <v>4265.7</v>
      </c>
      <c r="I61" s="5">
        <v>4265.7</v>
      </c>
      <c r="J61" s="5">
        <f t="shared" si="20"/>
        <v>4265.72</v>
      </c>
      <c r="K61" s="5">
        <v>4498</v>
      </c>
      <c r="L61" s="5">
        <v>4498</v>
      </c>
      <c r="M61" s="5">
        <v>4498</v>
      </c>
      <c r="N61" s="63">
        <v>4497.6454999999996</v>
      </c>
      <c r="O61" s="63">
        <v>4498</v>
      </c>
      <c r="P61" s="63">
        <f>K61</f>
        <v>4498</v>
      </c>
      <c r="Q61" s="63">
        <v>4498</v>
      </c>
      <c r="R61" s="63">
        <v>4498</v>
      </c>
      <c r="S61" s="63">
        <v>4498</v>
      </c>
      <c r="T61" s="63">
        <v>4498</v>
      </c>
      <c r="U61" s="63">
        <v>4498</v>
      </c>
      <c r="V61" s="63">
        <v>4497.6454999999996</v>
      </c>
      <c r="W61" s="63">
        <f>4497.6455+15.1842</f>
        <v>4512.8296999999993</v>
      </c>
      <c r="X61" s="63">
        <f>4497.6455+15.1842</f>
        <v>4512.8296999999993</v>
      </c>
      <c r="Y61" s="63">
        <f t="shared" ref="Y61:Z61" si="21">4497.6455+15.1842</f>
        <v>4512.8296999999993</v>
      </c>
      <c r="Z61" s="63">
        <f t="shared" si="21"/>
        <v>4512.8296999999993</v>
      </c>
      <c r="AA61" s="132">
        <f>(44.976455+0.151842)*100</f>
        <v>4512.8297000000002</v>
      </c>
      <c r="AB61" s="4">
        <f t="shared" si="17"/>
        <v>4512.8297000000002</v>
      </c>
      <c r="AC61" s="57">
        <f>(44.976455+0.151842)*100</f>
        <v>4512.8297000000002</v>
      </c>
      <c r="AD61" s="57">
        <f>(44.976455+0.151842)*100</f>
        <v>4512.8297000000002</v>
      </c>
      <c r="AE61" s="57">
        <f>(44.976455+0.151842)*100</f>
        <v>4512.8297000000002</v>
      </c>
      <c r="AF61" s="63">
        <f>AE61</f>
        <v>4512.8297000000002</v>
      </c>
      <c r="AG61" s="63">
        <f>AF61</f>
        <v>4512.8297000000002</v>
      </c>
      <c r="AH61" s="63">
        <f>AG61</f>
        <v>4512.8297000000002</v>
      </c>
      <c r="AI61" s="52" t="s">
        <v>177</v>
      </c>
      <c r="AJ61" s="46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</row>
    <row r="62" spans="1:82" s="8" customFormat="1" ht="45">
      <c r="A62" s="35" t="s">
        <v>152</v>
      </c>
      <c r="B62" s="39" t="s">
        <v>57</v>
      </c>
      <c r="C62" s="93" t="s">
        <v>91</v>
      </c>
      <c r="D62" s="133">
        <f>2.809</f>
        <v>2.8090000000000002</v>
      </c>
      <c r="E62" s="133">
        <f>2.967</f>
        <v>2.9670000000000001</v>
      </c>
      <c r="F62" s="7">
        <v>3.1904034800000001</v>
      </c>
      <c r="G62" s="7">
        <v>3.1904034800000001</v>
      </c>
      <c r="H62" s="7" t="s">
        <v>89</v>
      </c>
      <c r="I62" s="7" t="s">
        <v>92</v>
      </c>
      <c r="J62" s="133">
        <f>F62*1.05</f>
        <v>3.3499236540000004</v>
      </c>
      <c r="K62" s="133">
        <v>3.5475530000000002</v>
      </c>
      <c r="L62" s="133">
        <v>3.5475530000000002</v>
      </c>
      <c r="M62" s="133">
        <v>3.5475530000000002</v>
      </c>
      <c r="N62" s="134">
        <v>3.5475530000000002</v>
      </c>
      <c r="O62" s="135">
        <f>L62+0.031653</f>
        <v>3.5792060000000001</v>
      </c>
      <c r="P62" s="135">
        <v>3.65</v>
      </c>
      <c r="Q62" s="135">
        <v>3.65</v>
      </c>
      <c r="R62" s="135">
        <v>3.7288709999999998</v>
      </c>
      <c r="S62" s="135">
        <f>R62</f>
        <v>3.7288709999999998</v>
      </c>
      <c r="T62" s="135" t="s">
        <v>118</v>
      </c>
      <c r="U62" s="135">
        <v>3.7288709999999998</v>
      </c>
      <c r="V62" s="132">
        <f>0.827737+2.877744</f>
        <v>3.7054809999999998</v>
      </c>
      <c r="W62" s="44" t="s">
        <v>90</v>
      </c>
      <c r="X62" s="57">
        <f>0.869124+2.964076</f>
        <v>3.8331999999999997</v>
      </c>
      <c r="Y62" s="44" t="s">
        <v>90</v>
      </c>
      <c r="Z62" s="132">
        <f>0.869124+2.964076</f>
        <v>3.8331999999999997</v>
      </c>
      <c r="AA62" s="132">
        <f>0.869124+2.964076</f>
        <v>3.8331999999999997</v>
      </c>
      <c r="AB62" s="4">
        <f t="shared" si="17"/>
        <v>3.8331999999999997</v>
      </c>
      <c r="AC62" s="45" t="s">
        <v>90</v>
      </c>
      <c r="AD62" s="45">
        <v>2.7</v>
      </c>
      <c r="AE62" s="132">
        <v>2.7</v>
      </c>
      <c r="AF62" s="132">
        <f>AE62</f>
        <v>2.7</v>
      </c>
      <c r="AG62" s="132">
        <f t="shared" ref="AG62:AH62" si="22">AF62</f>
        <v>2.7</v>
      </c>
      <c r="AH62" s="132">
        <f t="shared" si="22"/>
        <v>2.7</v>
      </c>
      <c r="AI62" s="136" t="s">
        <v>218</v>
      </c>
      <c r="AJ62" s="46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1:82" s="8" customFormat="1" ht="45">
      <c r="A63" s="35" t="s">
        <v>153</v>
      </c>
      <c r="B63" s="39" t="s">
        <v>148</v>
      </c>
      <c r="C63" s="93" t="s">
        <v>149</v>
      </c>
      <c r="D63" s="133"/>
      <c r="E63" s="133"/>
      <c r="F63" s="7"/>
      <c r="G63" s="7"/>
      <c r="H63" s="7"/>
      <c r="I63" s="7"/>
      <c r="J63" s="133"/>
      <c r="K63" s="133"/>
      <c r="L63" s="133"/>
      <c r="M63" s="133"/>
      <c r="N63" s="135">
        <v>43.8</v>
      </c>
      <c r="O63" s="133"/>
      <c r="P63" s="133"/>
      <c r="Q63" s="133"/>
      <c r="R63" s="133"/>
      <c r="S63" s="133"/>
      <c r="T63" s="133"/>
      <c r="U63" s="133"/>
      <c r="V63" s="57">
        <f>N63-5.4-0.6</f>
        <v>37.799999999999997</v>
      </c>
      <c r="W63" s="44">
        <f>V63</f>
        <v>37.799999999999997</v>
      </c>
      <c r="X63" s="61"/>
      <c r="Y63" s="63">
        <v>43.1</v>
      </c>
      <c r="Z63" s="57">
        <v>44.482999999999997</v>
      </c>
      <c r="AA63" s="57">
        <v>43.540999999999997</v>
      </c>
      <c r="AB63" s="4">
        <f t="shared" si="17"/>
        <v>43.540999999999997</v>
      </c>
      <c r="AC63" s="57">
        <v>43.540999999999997</v>
      </c>
      <c r="AD63" s="57">
        <v>43.5</v>
      </c>
      <c r="AE63" s="57">
        <f t="shared" ref="AE63" si="23">AA63</f>
        <v>43.540999999999997</v>
      </c>
      <c r="AF63" s="57">
        <f>AE63</f>
        <v>43.540999999999997</v>
      </c>
      <c r="AG63" s="4">
        <f>AF63</f>
        <v>43.540999999999997</v>
      </c>
      <c r="AH63" s="4">
        <f>AG63</f>
        <v>43.540999999999997</v>
      </c>
      <c r="AI63" s="136" t="s">
        <v>189</v>
      </c>
      <c r="AJ63" s="46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</row>
    <row r="64" spans="1:82" s="8" customFormat="1" ht="219.75" customHeight="1">
      <c r="A64" s="35" t="s">
        <v>154</v>
      </c>
      <c r="B64" s="39" t="s">
        <v>150</v>
      </c>
      <c r="C64" s="93" t="s">
        <v>149</v>
      </c>
      <c r="D64" s="133"/>
      <c r="E64" s="133"/>
      <c r="F64" s="7"/>
      <c r="G64" s="7"/>
      <c r="H64" s="7"/>
      <c r="I64" s="7"/>
      <c r="J64" s="133"/>
      <c r="K64" s="133"/>
      <c r="L64" s="133"/>
      <c r="M64" s="133"/>
      <c r="N64" s="57">
        <v>4.7</v>
      </c>
      <c r="O64" s="133"/>
      <c r="P64" s="133"/>
      <c r="Q64" s="133"/>
      <c r="R64" s="133"/>
      <c r="S64" s="133"/>
      <c r="T64" s="133"/>
      <c r="U64" s="133"/>
      <c r="V64" s="57">
        <v>3.6</v>
      </c>
      <c r="W64" s="44">
        <f>V64</f>
        <v>3.6</v>
      </c>
      <c r="X64" s="61"/>
      <c r="Y64" s="63">
        <v>3.6</v>
      </c>
      <c r="Z64" s="57">
        <v>6.8</v>
      </c>
      <c r="AA64" s="57">
        <v>6.6790000000000003</v>
      </c>
      <c r="AB64" s="57">
        <v>6.6790000000000003</v>
      </c>
      <c r="AC64" s="57">
        <v>6.6790000000000003</v>
      </c>
      <c r="AD64" s="57">
        <v>6.6790000000000003</v>
      </c>
      <c r="AE64" s="132">
        <v>6.6790000000000003</v>
      </c>
      <c r="AF64" s="132">
        <f>AB64+1.119</f>
        <v>7.798</v>
      </c>
      <c r="AG64" s="6">
        <f>AF64+1.012</f>
        <v>8.81</v>
      </c>
      <c r="AH64" s="6">
        <f>AG64+3.62</f>
        <v>12.43</v>
      </c>
      <c r="AI64" s="29" t="s">
        <v>219</v>
      </c>
      <c r="AJ64" s="46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1:82">
      <c r="A65" s="137"/>
      <c r="B65" s="143" t="s">
        <v>181</v>
      </c>
      <c r="C65" s="138"/>
      <c r="D65" s="139"/>
      <c r="E65" s="140"/>
      <c r="F65" s="141"/>
      <c r="G65" s="141"/>
      <c r="H65" s="141"/>
      <c r="I65" s="141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2"/>
      <c r="AJ65" s="46"/>
    </row>
    <row r="66" spans="1:82">
      <c r="A66" s="137"/>
      <c r="B66" s="143" t="s">
        <v>185</v>
      </c>
      <c r="C66" s="138"/>
      <c r="D66" s="139"/>
      <c r="E66" s="140"/>
      <c r="F66" s="141"/>
      <c r="G66" s="141"/>
      <c r="H66" s="141"/>
      <c r="I66" s="141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2"/>
      <c r="AJ66" s="46"/>
    </row>
    <row r="67" spans="1:82">
      <c r="A67" s="137"/>
      <c r="B67" s="150" t="s">
        <v>215</v>
      </c>
      <c r="C67" s="138"/>
      <c r="D67" s="139"/>
      <c r="E67" s="140"/>
      <c r="F67" s="141"/>
      <c r="G67" s="141"/>
      <c r="H67" s="141"/>
      <c r="I67" s="141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2"/>
      <c r="AJ67" s="46"/>
    </row>
    <row r="68" spans="1:82">
      <c r="A68" s="176" t="s">
        <v>72</v>
      </c>
      <c r="B68" s="177"/>
      <c r="C68" s="137"/>
      <c r="D68" s="144"/>
      <c r="AI68" s="142"/>
      <c r="AJ68" s="46"/>
    </row>
    <row r="69" spans="1:82" hidden="1">
      <c r="A69" s="20" t="s">
        <v>60</v>
      </c>
    </row>
    <row r="70" spans="1:82" ht="45" hidden="1">
      <c r="B70" s="3" t="s">
        <v>61</v>
      </c>
    </row>
    <row r="71" spans="1:82" ht="30" hidden="1">
      <c r="B71" s="151" t="s">
        <v>62</v>
      </c>
    </row>
    <row r="72" spans="1:82" ht="60" hidden="1">
      <c r="B72" s="145" t="s">
        <v>63</v>
      </c>
    </row>
    <row r="73" spans="1:82" ht="45" hidden="1">
      <c r="B73" s="146" t="s">
        <v>64</v>
      </c>
    </row>
    <row r="74" spans="1:82" ht="28.5" hidden="1" customHeight="1">
      <c r="B74" s="3" t="s">
        <v>65</v>
      </c>
    </row>
    <row r="75" spans="1:82" s="2" customFormat="1">
      <c r="A75" s="20"/>
      <c r="B75" s="152"/>
      <c r="C75" s="147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16"/>
      <c r="Q75" s="16"/>
      <c r="R75" s="90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9"/>
      <c r="AJ75" s="13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</row>
  </sheetData>
  <mergeCells count="16">
    <mergeCell ref="A30:A32"/>
    <mergeCell ref="A55:A57"/>
    <mergeCell ref="AI55:AI57"/>
    <mergeCell ref="AI58:AI59"/>
    <mergeCell ref="A68:B68"/>
    <mergeCell ref="AI31:AI32"/>
    <mergeCell ref="AI10:AI13"/>
    <mergeCell ref="AI26:AI28"/>
    <mergeCell ref="A3:AE3"/>
    <mergeCell ref="A1:AH1"/>
    <mergeCell ref="A26:A28"/>
    <mergeCell ref="P4:X4"/>
    <mergeCell ref="A5:A7"/>
    <mergeCell ref="B5:B7"/>
    <mergeCell ref="C5:C7"/>
    <mergeCell ref="AF5:AH5"/>
  </mergeCells>
  <printOptions horizontalCentered="1"/>
  <pageMargins left="0" right="0" top="0" bottom="0" header="0.23622047244094491" footer="0.23622047244094491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на 2018-2020 - за  9мес</vt:lpstr>
      <vt:lpstr>'прогноз на 2018-2020 - за  9мес'!Заголовки_для_печати</vt:lpstr>
      <vt:lpstr>'прогноз на 2018-2020 - за  9мес'!Область_печати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Ekonom7</dc:creator>
  <cp:lastModifiedBy>Finkon4</cp:lastModifiedBy>
  <cp:lastPrinted>2017-10-30T05:20:25Z</cp:lastPrinted>
  <dcterms:created xsi:type="dcterms:W3CDTF">2014-05-19T10:52:36Z</dcterms:created>
  <dcterms:modified xsi:type="dcterms:W3CDTF">2017-10-30T06:42:05Z</dcterms:modified>
</cp:coreProperties>
</file>