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240" yWindow="45" windowWidth="20730" windowHeight="11760" firstSheet="2" activeTab="2"/>
  </bookViews>
  <sheets>
    <sheet name="прогноз на 2017-2019 за 2015" sheetId="7" r:id="rId1"/>
    <sheet name="прогноз2017-2019 на01.08.-НЕ УТ" sheetId="8" r:id="rId2"/>
    <sheet name="прогноз на 2017-2019 - 30.10." sheetId="11" r:id="rId3"/>
  </sheets>
  <definedNames>
    <definedName name="_xlnm.Print_Titles" localSheetId="2">'прогноз на 2017-2019 - 30.10.'!$5:$7</definedName>
    <definedName name="_xlnm.Print_Titles" localSheetId="0">'прогноз на 2017-2019 за 2015'!$5:$7</definedName>
    <definedName name="_xlnm.Print_Titles" localSheetId="1">'прогноз2017-2019 на01.08.-НЕ УТ'!$5:$7</definedName>
    <definedName name="_xlnm.Print_Area" localSheetId="2">'прогноз на 2017-2019 - 30.10.'!$A$1:$AI$58</definedName>
    <definedName name="_xlnm.Print_Area" localSheetId="0">'прогноз на 2017-2019 за 2015'!$A$1:$AH$57</definedName>
    <definedName name="_xlnm.Print_Area" localSheetId="1">'прогноз2017-2019 на01.08.-НЕ УТ'!$A$1:$AJ$57</definedName>
  </definedNames>
  <calcPr calcId="125725"/>
</workbook>
</file>

<file path=xl/calcChain.xml><?xml version="1.0" encoding="utf-8"?>
<calcChain xmlns="http://schemas.openxmlformats.org/spreadsheetml/2006/main">
  <c r="AC43" i="11"/>
  <c r="Z43"/>
  <c r="N49"/>
  <c r="O49"/>
  <c r="Q49"/>
  <c r="R49"/>
  <c r="S49"/>
  <c r="T49"/>
  <c r="V49"/>
  <c r="AA49"/>
  <c r="AB49"/>
  <c r="AC49"/>
  <c r="Y39"/>
  <c r="Z34"/>
  <c r="AA34" s="1"/>
  <c r="AB34" s="1"/>
  <c r="AC34" s="1"/>
  <c r="Z48" l="1"/>
  <c r="AA40"/>
  <c r="AC41" l="1"/>
  <c r="AB41"/>
  <c r="AA41"/>
  <c r="Z41"/>
  <c r="Z39" s="1"/>
  <c r="AA39" s="1"/>
  <c r="Z38" l="1"/>
  <c r="AA38" s="1"/>
  <c r="AB38" s="1"/>
  <c r="AC38" s="1"/>
  <c r="AA24"/>
  <c r="Z42"/>
  <c r="AA20"/>
  <c r="AB20" s="1"/>
  <c r="Y43"/>
  <c r="AB39" l="1"/>
  <c r="AC39" s="1"/>
  <c r="Z35"/>
  <c r="AA35" s="1"/>
  <c r="AB35" s="1"/>
  <c r="AC35" s="1"/>
  <c r="AB24"/>
  <c r="AC24" s="1"/>
  <c r="Y46" l="1"/>
  <c r="AC46"/>
  <c r="AB46"/>
  <c r="AA46"/>
  <c r="Z46"/>
  <c r="V46"/>
  <c r="N46"/>
  <c r="AA43" l="1"/>
  <c r="AB43" s="1"/>
  <c r="Z20" l="1"/>
  <c r="Z22"/>
  <c r="Z17" l="1"/>
  <c r="W55"/>
  <c r="Z53"/>
  <c r="Z52"/>
  <c r="Y52"/>
  <c r="W52"/>
  <c r="O46"/>
  <c r="P46"/>
  <c r="Q46"/>
  <c r="R46"/>
  <c r="S46"/>
  <c r="T46"/>
  <c r="U46"/>
  <c r="O44" l="1"/>
  <c r="Q44"/>
  <c r="R44"/>
  <c r="S44"/>
  <c r="T44"/>
  <c r="V44"/>
  <c r="AA55"/>
  <c r="AB55" s="1"/>
  <c r="AC55" s="1"/>
  <c r="AA54"/>
  <c r="AB54" s="1"/>
  <c r="AC54" s="1"/>
  <c r="V54"/>
  <c r="W54" s="1"/>
  <c r="Y26" l="1"/>
  <c r="AB40"/>
  <c r="AC40" s="1"/>
  <c r="AA44"/>
  <c r="Y10" l="1"/>
  <c r="Y49" s="1"/>
  <c r="Y44" l="1"/>
  <c r="AB44"/>
  <c r="V41"/>
  <c r="N41"/>
  <c r="Z13"/>
  <c r="Z10"/>
  <c r="Z49" s="1"/>
  <c r="Z44" l="1"/>
  <c r="AC44"/>
  <c r="X28"/>
  <c r="Z28" s="1"/>
  <c r="AF53"/>
  <c r="AA53"/>
  <c r="X53"/>
  <c r="AH53" s="1"/>
  <c r="V53"/>
  <c r="S53"/>
  <c r="AG53" s="1"/>
  <c r="O53"/>
  <c r="J53"/>
  <c r="E53"/>
  <c r="AE53" s="1"/>
  <c r="D53"/>
  <c r="AG22"/>
  <c r="AF22"/>
  <c r="AE22"/>
  <c r="AD22"/>
  <c r="AA22"/>
  <c r="X22"/>
  <c r="X52"/>
  <c r="AA52" s="1"/>
  <c r="P52"/>
  <c r="AG52" s="1"/>
  <c r="J52"/>
  <c r="G52"/>
  <c r="F52"/>
  <c r="E52"/>
  <c r="D52"/>
  <c r="AF35"/>
  <c r="AE35"/>
  <c r="AD35"/>
  <c r="X35"/>
  <c r="U35"/>
  <c r="S35"/>
  <c r="Q35"/>
  <c r="P35"/>
  <c r="AG35" s="1"/>
  <c r="J35"/>
  <c r="X34"/>
  <c r="AD34" s="1"/>
  <c r="AE34" s="1"/>
  <c r="AF34" s="1"/>
  <c r="AG34" s="1"/>
  <c r="AH34" s="1"/>
  <c r="AI34" s="1"/>
  <c r="AJ34" s="1"/>
  <c r="U34"/>
  <c r="S34"/>
  <c r="Q34"/>
  <c r="K34"/>
  <c r="P34" s="1"/>
  <c r="J34"/>
  <c r="E30"/>
  <c r="G30" s="1"/>
  <c r="N30" s="1"/>
  <c r="V30" s="1"/>
  <c r="AG27"/>
  <c r="AF27"/>
  <c r="X27"/>
  <c r="Z27" s="1"/>
  <c r="AG26"/>
  <c r="AF26"/>
  <c r="V26"/>
  <c r="X26" s="1"/>
  <c r="N26"/>
  <c r="J26"/>
  <c r="G26"/>
  <c r="E26"/>
  <c r="D26"/>
  <c r="V21"/>
  <c r="Y21" s="1"/>
  <c r="X20"/>
  <c r="AG18"/>
  <c r="AG14" s="1"/>
  <c r="AF18"/>
  <c r="AF14" s="1"/>
  <c r="AE18"/>
  <c r="AE14" s="1"/>
  <c r="AD18"/>
  <c r="AD14" s="1"/>
  <c r="V18"/>
  <c r="U18"/>
  <c r="V17"/>
  <c r="V15" s="1"/>
  <c r="N17"/>
  <c r="N15" s="1"/>
  <c r="G17"/>
  <c r="AF15"/>
  <c r="AE15"/>
  <c r="AD15"/>
  <c r="U15"/>
  <c r="S15"/>
  <c r="P15"/>
  <c r="AG15" s="1"/>
  <c r="J15"/>
  <c r="G15"/>
  <c r="AJ13"/>
  <c r="AI13"/>
  <c r="AH13"/>
  <c r="AG13"/>
  <c r="AD13"/>
  <c r="AC13"/>
  <c r="G13"/>
  <c r="F13"/>
  <c r="AE13" s="1"/>
  <c r="AD12"/>
  <c r="S12"/>
  <c r="Q12"/>
  <c r="P12"/>
  <c r="L12"/>
  <c r="K12"/>
  <c r="K10" s="1"/>
  <c r="J12"/>
  <c r="H12"/>
  <c r="G12"/>
  <c r="F12"/>
  <c r="X12" s="1"/>
  <c r="Z12" s="1"/>
  <c r="AD11"/>
  <c r="U11"/>
  <c r="S11"/>
  <c r="Q11"/>
  <c r="P11"/>
  <c r="AG11" s="1"/>
  <c r="J11"/>
  <c r="H11"/>
  <c r="G11"/>
  <c r="F11"/>
  <c r="AF11" s="1"/>
  <c r="AJ10"/>
  <c r="AI10"/>
  <c r="AE10"/>
  <c r="AD10"/>
  <c r="W10"/>
  <c r="I10"/>
  <c r="J10" l="1"/>
  <c r="Z29"/>
  <c r="Z26"/>
  <c r="AH22"/>
  <c r="X17"/>
  <c r="X18"/>
  <c r="Y18"/>
  <c r="Z18" s="1"/>
  <c r="Z21"/>
  <c r="X30"/>
  <c r="Z30"/>
  <c r="AA30" s="1"/>
  <c r="AB30" s="1"/>
  <c r="AC30" s="1"/>
  <c r="AA17"/>
  <c r="AB22"/>
  <c r="AC22" s="1"/>
  <c r="AI53"/>
  <c r="AD53"/>
  <c r="AJ53"/>
  <c r="P10"/>
  <c r="P49" s="1"/>
  <c r="X21"/>
  <c r="AG12"/>
  <c r="U12"/>
  <c r="U10" s="1"/>
  <c r="U49" s="1"/>
  <c r="AE12"/>
  <c r="Q15"/>
  <c r="AD52"/>
  <c r="AE52"/>
  <c r="AH35"/>
  <c r="AF12"/>
  <c r="AI22"/>
  <c r="AJ22"/>
  <c r="AI52"/>
  <c r="AB52"/>
  <c r="AA12"/>
  <c r="AH12"/>
  <c r="AH18"/>
  <c r="AH14" s="1"/>
  <c r="AH26"/>
  <c r="AA26"/>
  <c r="X11"/>
  <c r="Z11" s="1"/>
  <c r="J13"/>
  <c r="AF13"/>
  <c r="AH27"/>
  <c r="AF10"/>
  <c r="AH10"/>
  <c r="AE11"/>
  <c r="AA27"/>
  <c r="AA21" s="1"/>
  <c r="F30"/>
  <c r="AD30"/>
  <c r="AF52"/>
  <c r="AH52"/>
  <c r="U44" l="1"/>
  <c r="AA29"/>
  <c r="AG10"/>
  <c r="P44"/>
  <c r="AA18"/>
  <c r="AA15" s="1"/>
  <c r="Z15"/>
  <c r="AA28"/>
  <c r="X15"/>
  <c r="AH15" s="1"/>
  <c r="AC20"/>
  <c r="AC17" s="1"/>
  <c r="AB17"/>
  <c r="AI35"/>
  <c r="AE30"/>
  <c r="L30"/>
  <c r="S30" s="1"/>
  <c r="J30"/>
  <c r="M30"/>
  <c r="U30" s="1"/>
  <c r="K30"/>
  <c r="AH11"/>
  <c r="AA11"/>
  <c r="AB26"/>
  <c r="AI26"/>
  <c r="AI12"/>
  <c r="AB12"/>
  <c r="AC52"/>
  <c r="AJ52"/>
  <c r="AI30"/>
  <c r="AI27"/>
  <c r="AB27"/>
  <c r="AI18" l="1"/>
  <c r="AI14" s="1"/>
  <c r="AM18"/>
  <c r="AI15"/>
  <c r="AM15"/>
  <c r="AB28"/>
  <c r="AB18"/>
  <c r="AB15" s="1"/>
  <c r="AJ15" s="1"/>
  <c r="AB29"/>
  <c r="AJ27"/>
  <c r="AC27"/>
  <c r="AJ30"/>
  <c r="AB11"/>
  <c r="AI11"/>
  <c r="AJ35"/>
  <c r="AB21"/>
  <c r="AJ12"/>
  <c r="AL12"/>
  <c r="AM12" s="1"/>
  <c r="AC12"/>
  <c r="AJ26"/>
  <c r="AC26"/>
  <c r="P30"/>
  <c r="AF30"/>
  <c r="Q30"/>
  <c r="AC21" l="1"/>
  <c r="AC28"/>
  <c r="AJ18"/>
  <c r="AJ14" s="1"/>
  <c r="AC29"/>
  <c r="AC18"/>
  <c r="AC15" s="1"/>
  <c r="AG30"/>
  <c r="AH30"/>
  <c r="AL11"/>
  <c r="AC11"/>
  <c r="AJ11"/>
  <c r="AM11" l="1"/>
  <c r="AL10"/>
  <c r="AM10" l="1"/>
  <c r="X51" i="8" l="1"/>
  <c r="Y18" l="1"/>
  <c r="Y20"/>
  <c r="N33"/>
  <c r="W43"/>
  <c r="W37"/>
  <c r="W36"/>
  <c r="W21"/>
  <c r="W18"/>
  <c r="Y11"/>
  <c r="W53"/>
  <c r="W35"/>
  <c r="W33"/>
  <c r="W32" s="1"/>
  <c r="W17"/>
  <c r="W15"/>
  <c r="AE53"/>
  <c r="AA53"/>
  <c r="AB53" s="1"/>
  <c r="Z53"/>
  <c r="AH53" s="1"/>
  <c r="Y53"/>
  <c r="AG53" s="1"/>
  <c r="V53"/>
  <c r="S53"/>
  <c r="AF53" s="1"/>
  <c r="O53"/>
  <c r="J53"/>
  <c r="E53"/>
  <c r="AD53" s="1"/>
  <c r="D53"/>
  <c r="AI52"/>
  <c r="AH52"/>
  <c r="AG52"/>
  <c r="AF52"/>
  <c r="AE52"/>
  <c r="AD52"/>
  <c r="AC52"/>
  <c r="T52"/>
  <c r="S52"/>
  <c r="R52"/>
  <c r="O52"/>
  <c r="M52"/>
  <c r="Y51"/>
  <c r="Z51" s="1"/>
  <c r="P51"/>
  <c r="AF51" s="1"/>
  <c r="J51"/>
  <c r="G51"/>
  <c r="F51"/>
  <c r="AD51" s="1"/>
  <c r="E51"/>
  <c r="AC51" s="1"/>
  <c r="D51"/>
  <c r="AF49"/>
  <c r="AE49"/>
  <c r="AD49"/>
  <c r="AC49"/>
  <c r="AF48"/>
  <c r="AE48"/>
  <c r="AD48"/>
  <c r="AC48"/>
  <c r="AF47"/>
  <c r="AE47"/>
  <c r="AD47"/>
  <c r="AC47"/>
  <c r="AF46"/>
  <c r="AE46"/>
  <c r="AD46"/>
  <c r="AC46"/>
  <c r="AI45"/>
  <c r="AH45"/>
  <c r="AG45"/>
  <c r="AF45"/>
  <c r="AE45"/>
  <c r="AD45"/>
  <c r="AC45"/>
  <c r="AD43"/>
  <c r="AC43"/>
  <c r="M43"/>
  <c r="U43" s="1"/>
  <c r="K43"/>
  <c r="P43" s="1"/>
  <c r="AF43" s="1"/>
  <c r="G43"/>
  <c r="N43" s="1"/>
  <c r="V43" s="1"/>
  <c r="Y43" s="1"/>
  <c r="F43"/>
  <c r="L43" s="1"/>
  <c r="S43" s="1"/>
  <c r="AE42"/>
  <c r="AD42"/>
  <c r="AC42"/>
  <c r="Y42"/>
  <c r="AG42" s="1"/>
  <c r="U42"/>
  <c r="S42"/>
  <c r="Q42"/>
  <c r="P42"/>
  <c r="AF42" s="1"/>
  <c r="J42"/>
  <c r="Y41"/>
  <c r="Z41" s="1"/>
  <c r="AA41" s="1"/>
  <c r="AB41" s="1"/>
  <c r="AC41" s="1"/>
  <c r="AD41" s="1"/>
  <c r="AE41" s="1"/>
  <c r="AF41" s="1"/>
  <c r="AG41" s="1"/>
  <c r="AH41" s="1"/>
  <c r="AI41" s="1"/>
  <c r="U41"/>
  <c r="S41"/>
  <c r="Q41"/>
  <c r="P41"/>
  <c r="K41"/>
  <c r="J41"/>
  <c r="E37"/>
  <c r="G37" s="1"/>
  <c r="N37" s="1"/>
  <c r="V37" s="1"/>
  <c r="Y37" s="1"/>
  <c r="E36"/>
  <c r="G36" s="1"/>
  <c r="N36" s="1"/>
  <c r="V36" s="1"/>
  <c r="V35"/>
  <c r="S35"/>
  <c r="N35"/>
  <c r="M35"/>
  <c r="L35"/>
  <c r="G35"/>
  <c r="F35"/>
  <c r="E35"/>
  <c r="AD35" s="1"/>
  <c r="D35"/>
  <c r="AF34"/>
  <c r="AE34"/>
  <c r="Y34"/>
  <c r="AG34" s="1"/>
  <c r="AF33"/>
  <c r="AE33"/>
  <c r="V33"/>
  <c r="Y33" s="1"/>
  <c r="J33"/>
  <c r="G33"/>
  <c r="E33"/>
  <c r="D33"/>
  <c r="V32"/>
  <c r="S32"/>
  <c r="Q32"/>
  <c r="N32"/>
  <c r="M32"/>
  <c r="L32"/>
  <c r="G32"/>
  <c r="F32"/>
  <c r="AD32" s="1"/>
  <c r="E32"/>
  <c r="AC32" s="1"/>
  <c r="D32"/>
  <c r="AF30"/>
  <c r="AE30"/>
  <c r="AD30"/>
  <c r="AC30"/>
  <c r="AF29"/>
  <c r="AE29"/>
  <c r="AD29"/>
  <c r="AC29"/>
  <c r="J29"/>
  <c r="AF28"/>
  <c r="AE28"/>
  <c r="AD28"/>
  <c r="AC28"/>
  <c r="AE27"/>
  <c r="AD27"/>
  <c r="AC27"/>
  <c r="P27"/>
  <c r="AF27" s="1"/>
  <c r="AF26"/>
  <c r="AE26"/>
  <c r="AD26"/>
  <c r="AC26"/>
  <c r="AF25"/>
  <c r="AE25"/>
  <c r="AD25"/>
  <c r="AC25"/>
  <c r="AF24"/>
  <c r="AE24"/>
  <c r="AD24"/>
  <c r="AC24"/>
  <c r="AF23"/>
  <c r="AE23"/>
  <c r="AD23"/>
  <c r="AC23"/>
  <c r="Z23"/>
  <c r="AA23" s="1"/>
  <c r="Y23"/>
  <c r="AG23" s="1"/>
  <c r="V21"/>
  <c r="Y21" s="1"/>
  <c r="Z20"/>
  <c r="AF18"/>
  <c r="AE18"/>
  <c r="AD18"/>
  <c r="AC18"/>
  <c r="V18"/>
  <c r="U18"/>
  <c r="Y17"/>
  <c r="V17"/>
  <c r="N17"/>
  <c r="G17"/>
  <c r="AE15"/>
  <c r="AD15"/>
  <c r="AC15"/>
  <c r="V15"/>
  <c r="U15"/>
  <c r="S15"/>
  <c r="P15"/>
  <c r="Q15" s="1"/>
  <c r="N15"/>
  <c r="J15"/>
  <c r="G15"/>
  <c r="AF14"/>
  <c r="AE14"/>
  <c r="AD14"/>
  <c r="AC14"/>
  <c r="AI13"/>
  <c r="AH13"/>
  <c r="AG13"/>
  <c r="AF13"/>
  <c r="AC13"/>
  <c r="AB13"/>
  <c r="G13"/>
  <c r="F13"/>
  <c r="AE13" s="1"/>
  <c r="AC12"/>
  <c r="S12"/>
  <c r="Q12"/>
  <c r="P12"/>
  <c r="AF12" s="1"/>
  <c r="L12"/>
  <c r="K12"/>
  <c r="AE12" s="1"/>
  <c r="J12"/>
  <c r="H12"/>
  <c r="G12"/>
  <c r="F12"/>
  <c r="AD12" s="1"/>
  <c r="AC11"/>
  <c r="U11"/>
  <c r="S11"/>
  <c r="Q11"/>
  <c r="P11"/>
  <c r="AF11" s="1"/>
  <c r="J11"/>
  <c r="H11"/>
  <c r="G11"/>
  <c r="F11"/>
  <c r="AE11" s="1"/>
  <c r="AI10"/>
  <c r="AH10"/>
  <c r="AD10"/>
  <c r="AC10"/>
  <c r="K10"/>
  <c r="K35" s="1"/>
  <c r="AE35" s="1"/>
  <c r="J10"/>
  <c r="J32" s="1"/>
  <c r="I10"/>
  <c r="AC53" i="7"/>
  <c r="Y53"/>
  <c r="Z53" s="1"/>
  <c r="X53"/>
  <c r="AF53" s="1"/>
  <c r="W53"/>
  <c r="AE53" s="1"/>
  <c r="V53"/>
  <c r="S53"/>
  <c r="AD53" s="1"/>
  <c r="O53"/>
  <c r="J53"/>
  <c r="E53"/>
  <c r="AB53" s="1"/>
  <c r="D53"/>
  <c r="AA53" s="1"/>
  <c r="AG52"/>
  <c r="AF52"/>
  <c r="AE52"/>
  <c r="AD52"/>
  <c r="AC52"/>
  <c r="AB52"/>
  <c r="AA52"/>
  <c r="T52"/>
  <c r="S52"/>
  <c r="R52"/>
  <c r="O52"/>
  <c r="M52"/>
  <c r="W51"/>
  <c r="X51" s="1"/>
  <c r="P51"/>
  <c r="AD51" s="1"/>
  <c r="J51"/>
  <c r="G51"/>
  <c r="F51"/>
  <c r="AB51" s="1"/>
  <c r="E51"/>
  <c r="D51"/>
  <c r="AA51" s="1"/>
  <c r="AD49"/>
  <c r="AC49"/>
  <c r="AB49"/>
  <c r="AA49"/>
  <c r="AD48"/>
  <c r="AC48"/>
  <c r="AB48"/>
  <c r="AA48"/>
  <c r="AD47"/>
  <c r="AC47"/>
  <c r="AB47"/>
  <c r="AA47"/>
  <c r="AD46"/>
  <c r="AC46"/>
  <c r="AB46"/>
  <c r="AA46"/>
  <c r="AG45"/>
  <c r="AF45"/>
  <c r="AE45"/>
  <c r="AD45"/>
  <c r="AC45"/>
  <c r="AB45"/>
  <c r="AA45"/>
  <c r="AB43"/>
  <c r="AA43"/>
  <c r="M43"/>
  <c r="U43" s="1"/>
  <c r="K43"/>
  <c r="P43" s="1"/>
  <c r="AD43" s="1"/>
  <c r="G43"/>
  <c r="N43" s="1"/>
  <c r="V43" s="1"/>
  <c r="W43" s="1"/>
  <c r="F43"/>
  <c r="L43" s="1"/>
  <c r="S43" s="1"/>
  <c r="AC42"/>
  <c r="AB42"/>
  <c r="AA42"/>
  <c r="W42"/>
  <c r="AE42" s="1"/>
  <c r="U42"/>
  <c r="S42"/>
  <c r="Q42"/>
  <c r="P42"/>
  <c r="AD42" s="1"/>
  <c r="J42"/>
  <c r="W41"/>
  <c r="X41" s="1"/>
  <c r="Y41" s="1"/>
  <c r="Z41" s="1"/>
  <c r="AA41" s="1"/>
  <c r="AB41" s="1"/>
  <c r="AC41" s="1"/>
  <c r="AD41" s="1"/>
  <c r="AE41" s="1"/>
  <c r="AF41" s="1"/>
  <c r="AG41" s="1"/>
  <c r="U41"/>
  <c r="S41"/>
  <c r="Q41"/>
  <c r="P41"/>
  <c r="K41"/>
  <c r="J41"/>
  <c r="E37"/>
  <c r="AA37" s="1"/>
  <c r="E36"/>
  <c r="AA36" s="1"/>
  <c r="V35"/>
  <c r="S35"/>
  <c r="N35"/>
  <c r="M35"/>
  <c r="L35"/>
  <c r="G35"/>
  <c r="F35"/>
  <c r="E35"/>
  <c r="AA35" s="1"/>
  <c r="D35"/>
  <c r="AD34"/>
  <c r="AC34"/>
  <c r="W34"/>
  <c r="W35" s="1"/>
  <c r="AD33"/>
  <c r="AC33"/>
  <c r="V33"/>
  <c r="W33" s="1"/>
  <c r="N33"/>
  <c r="J33"/>
  <c r="G33"/>
  <c r="E33"/>
  <c r="E32" s="1"/>
  <c r="AA32" s="1"/>
  <c r="D33"/>
  <c r="S32"/>
  <c r="Q32"/>
  <c r="N32"/>
  <c r="M32"/>
  <c r="L32"/>
  <c r="G32"/>
  <c r="F32"/>
  <c r="AB32" s="1"/>
  <c r="D32"/>
  <c r="AD30"/>
  <c r="AC30"/>
  <c r="AB30"/>
  <c r="AA30"/>
  <c r="AD29"/>
  <c r="AC29"/>
  <c r="AB29"/>
  <c r="AA29"/>
  <c r="J29"/>
  <c r="AD28"/>
  <c r="AC28"/>
  <c r="AB28"/>
  <c r="AA28"/>
  <c r="AC27"/>
  <c r="AB27"/>
  <c r="AA27"/>
  <c r="P27"/>
  <c r="AD27" s="1"/>
  <c r="AD26"/>
  <c r="AC26"/>
  <c r="AB26"/>
  <c r="AA26"/>
  <c r="AD25"/>
  <c r="AC25"/>
  <c r="AB25"/>
  <c r="AA25"/>
  <c r="AD24"/>
  <c r="AC24"/>
  <c r="AB24"/>
  <c r="AA24"/>
  <c r="AD23"/>
  <c r="AC23"/>
  <c r="AC14" s="1"/>
  <c r="AB23"/>
  <c r="AA23"/>
  <c r="AA14" s="1"/>
  <c r="Y23"/>
  <c r="AG23" s="1"/>
  <c r="X23"/>
  <c r="AF23" s="1"/>
  <c r="W23"/>
  <c r="W17" s="1"/>
  <c r="W21"/>
  <c r="V21"/>
  <c r="X20"/>
  <c r="Y20" s="1"/>
  <c r="Z20" s="1"/>
  <c r="W20"/>
  <c r="AD18"/>
  <c r="AC18"/>
  <c r="AB18"/>
  <c r="AA18"/>
  <c r="V18"/>
  <c r="W18" s="1"/>
  <c r="U18"/>
  <c r="X17"/>
  <c r="V17"/>
  <c r="V15" s="1"/>
  <c r="N17"/>
  <c r="G17"/>
  <c r="AC15"/>
  <c r="AB15"/>
  <c r="AA15"/>
  <c r="U15"/>
  <c r="S15"/>
  <c r="Q15"/>
  <c r="P15"/>
  <c r="AD15" s="1"/>
  <c r="N15"/>
  <c r="J15"/>
  <c r="G15"/>
  <c r="AD14"/>
  <c r="AB14"/>
  <c r="AG13"/>
  <c r="AF13"/>
  <c r="AE13"/>
  <c r="AD13"/>
  <c r="AA13"/>
  <c r="Z13"/>
  <c r="G13"/>
  <c r="F13"/>
  <c r="AC13" s="1"/>
  <c r="AD12"/>
  <c r="AB12"/>
  <c r="AA12"/>
  <c r="U12"/>
  <c r="S12"/>
  <c r="Q12"/>
  <c r="P12"/>
  <c r="L12"/>
  <c r="K12"/>
  <c r="AC12" s="1"/>
  <c r="J12"/>
  <c r="J10" s="1"/>
  <c r="H12"/>
  <c r="G12"/>
  <c r="F12"/>
  <c r="W12" s="1"/>
  <c r="AA11"/>
  <c r="U11"/>
  <c r="S11"/>
  <c r="Q11"/>
  <c r="P11"/>
  <c r="AD11" s="1"/>
  <c r="J11"/>
  <c r="H11"/>
  <c r="G11"/>
  <c r="F11"/>
  <c r="W11" s="1"/>
  <c r="AG10"/>
  <c r="AF10"/>
  <c r="AB10"/>
  <c r="AA10"/>
  <c r="U10"/>
  <c r="U52" s="1"/>
  <c r="K10"/>
  <c r="K32" s="1"/>
  <c r="AC32" s="1"/>
  <c r="I10"/>
  <c r="Z17" i="8" l="1"/>
  <c r="AA20"/>
  <c r="AB20" s="1"/>
  <c r="Z33"/>
  <c r="Y32"/>
  <c r="AG33"/>
  <c r="Z37"/>
  <c r="Z43"/>
  <c r="AG43"/>
  <c r="AH51"/>
  <c r="AA51"/>
  <c r="Z18"/>
  <c r="Y15"/>
  <c r="AG18"/>
  <c r="AG14" s="1"/>
  <c r="AI23"/>
  <c r="AB23"/>
  <c r="AB17" s="1"/>
  <c r="AA17"/>
  <c r="P10"/>
  <c r="AE10"/>
  <c r="AD11"/>
  <c r="Y12"/>
  <c r="AD13"/>
  <c r="AF15"/>
  <c r="AH23"/>
  <c r="K32"/>
  <c r="AE32" s="1"/>
  <c r="Z34"/>
  <c r="Z21" s="1"/>
  <c r="J35"/>
  <c r="Y35"/>
  <c r="AC35"/>
  <c r="F36"/>
  <c r="AC36"/>
  <c r="F37"/>
  <c r="AC37"/>
  <c r="Z42"/>
  <c r="J43"/>
  <c r="Q43"/>
  <c r="AE43"/>
  <c r="AE51"/>
  <c r="AG51"/>
  <c r="AC53"/>
  <c r="AI53"/>
  <c r="U12"/>
  <c r="U10" s="1"/>
  <c r="J13"/>
  <c r="AE12" i="7"/>
  <c r="X12"/>
  <c r="X18"/>
  <c r="AE18"/>
  <c r="AE33"/>
  <c r="X33"/>
  <c r="W32"/>
  <c r="AE43"/>
  <c r="X43"/>
  <c r="AF51"/>
  <c r="Y51"/>
  <c r="AE11"/>
  <c r="X11"/>
  <c r="J35"/>
  <c r="J32"/>
  <c r="X15"/>
  <c r="W15"/>
  <c r="AC11"/>
  <c r="AE23"/>
  <c r="AE14" s="1"/>
  <c r="U32"/>
  <c r="AE34"/>
  <c r="K35"/>
  <c r="AC35" s="1"/>
  <c r="AB35"/>
  <c r="G36"/>
  <c r="N36" s="1"/>
  <c r="V36" s="1"/>
  <c r="G37"/>
  <c r="N37" s="1"/>
  <c r="V37" s="1"/>
  <c r="W37" s="1"/>
  <c r="P10"/>
  <c r="AC10"/>
  <c r="AB11"/>
  <c r="AB13"/>
  <c r="Y17"/>
  <c r="Z23"/>
  <c r="Z17" s="1"/>
  <c r="V32"/>
  <c r="X34"/>
  <c r="U35"/>
  <c r="F36"/>
  <c r="F37"/>
  <c r="X42"/>
  <c r="J43"/>
  <c r="Q43"/>
  <c r="AC43"/>
  <c r="AC51"/>
  <c r="AE51"/>
  <c r="AG53"/>
  <c r="J13"/>
  <c r="U32" i="8" l="1"/>
  <c r="U52"/>
  <c r="U35"/>
  <c r="Z12"/>
  <c r="AG12"/>
  <c r="AL18"/>
  <c r="AH18"/>
  <c r="AA18"/>
  <c r="AB51"/>
  <c r="AI51"/>
  <c r="AH33"/>
  <c r="AA33"/>
  <c r="Z32"/>
  <c r="AH32" s="1"/>
  <c r="Z15"/>
  <c r="AG11"/>
  <c r="Z11"/>
  <c r="AA42"/>
  <c r="AH42"/>
  <c r="AD37"/>
  <c r="M37"/>
  <c r="U37" s="1"/>
  <c r="K37"/>
  <c r="L37"/>
  <c r="S37" s="1"/>
  <c r="J37"/>
  <c r="AD36"/>
  <c r="M36"/>
  <c r="U36" s="1"/>
  <c r="K36"/>
  <c r="L36"/>
  <c r="S36" s="1"/>
  <c r="J36"/>
  <c r="Z35"/>
  <c r="AH35" s="1"/>
  <c r="AA34"/>
  <c r="AA21" s="1"/>
  <c r="AH34"/>
  <c r="P35"/>
  <c r="AF10"/>
  <c r="P32"/>
  <c r="AF32" s="1"/>
  <c r="AG10"/>
  <c r="AG15"/>
  <c r="AL23"/>
  <c r="AH43"/>
  <c r="AA43"/>
  <c r="AH37"/>
  <c r="AA37"/>
  <c r="AG35"/>
  <c r="AH14"/>
  <c r="AA15"/>
  <c r="AI15" s="1"/>
  <c r="AG32"/>
  <c r="Y42" i="7"/>
  <c r="AF42"/>
  <c r="AF34"/>
  <c r="X35"/>
  <c r="AF35" s="1"/>
  <c r="Y34"/>
  <c r="X37"/>
  <c r="AE15"/>
  <c r="AJ23"/>
  <c r="AF11"/>
  <c r="Y11"/>
  <c r="Z51"/>
  <c r="AG51"/>
  <c r="Y43"/>
  <c r="AF43"/>
  <c r="AF18"/>
  <c r="AF14" s="1"/>
  <c r="Y18"/>
  <c r="AJ18"/>
  <c r="X21"/>
  <c r="Y21" s="1"/>
  <c r="K36"/>
  <c r="L36"/>
  <c r="S36" s="1"/>
  <c r="J36"/>
  <c r="AB36"/>
  <c r="M36"/>
  <c r="U36" s="1"/>
  <c r="K37"/>
  <c r="L37"/>
  <c r="S37" s="1"/>
  <c r="J37"/>
  <c r="AB37"/>
  <c r="M37"/>
  <c r="U37" s="1"/>
  <c r="AD10"/>
  <c r="P32"/>
  <c r="AD32" s="1"/>
  <c r="AE10"/>
  <c r="P35"/>
  <c r="AJ15"/>
  <c r="AF15"/>
  <c r="Y33"/>
  <c r="X32"/>
  <c r="AF32" s="1"/>
  <c r="AF33"/>
  <c r="Y12"/>
  <c r="AF12"/>
  <c r="Y15"/>
  <c r="AG15" s="1"/>
  <c r="AB37" i="8" l="1"/>
  <c r="AI37"/>
  <c r="AB43"/>
  <c r="AI43"/>
  <c r="P37"/>
  <c r="AE37"/>
  <c r="Q37"/>
  <c r="AI42"/>
  <c r="AB42"/>
  <c r="AB33"/>
  <c r="AB32" s="1"/>
  <c r="AA32"/>
  <c r="AI32" s="1"/>
  <c r="AI33"/>
  <c r="AB18"/>
  <c r="AB15" s="1"/>
  <c r="AI18"/>
  <c r="AI14" s="1"/>
  <c r="AH12"/>
  <c r="AA12"/>
  <c r="AF35"/>
  <c r="Q35"/>
  <c r="AI34"/>
  <c r="AA35"/>
  <c r="AI35" s="1"/>
  <c r="AB34"/>
  <c r="AB35" s="1"/>
  <c r="P36"/>
  <c r="AF36" s="1"/>
  <c r="AE36"/>
  <c r="Q36"/>
  <c r="Y36" s="1"/>
  <c r="AA11"/>
  <c r="AH11"/>
  <c r="AL15"/>
  <c r="AH15"/>
  <c r="AG33" i="7"/>
  <c r="Z33"/>
  <c r="Z32" s="1"/>
  <c r="Y32"/>
  <c r="AG32" s="1"/>
  <c r="P36"/>
  <c r="AD36" s="1"/>
  <c r="AC36"/>
  <c r="Q36"/>
  <c r="W36" s="1"/>
  <c r="AG18"/>
  <c r="AG14" s="1"/>
  <c r="Z18"/>
  <c r="Z15" s="1"/>
  <c r="AG11"/>
  <c r="AI11"/>
  <c r="Z11"/>
  <c r="Y35"/>
  <c r="AG35" s="1"/>
  <c r="Z34"/>
  <c r="Z35" s="1"/>
  <c r="AG34"/>
  <c r="AG42"/>
  <c r="Z42"/>
  <c r="Z21"/>
  <c r="AI12"/>
  <c r="AJ12" s="1"/>
  <c r="Z12"/>
  <c r="AG12"/>
  <c r="AD35"/>
  <c r="Q35"/>
  <c r="AE35"/>
  <c r="P37"/>
  <c r="AC37"/>
  <c r="Q37"/>
  <c r="AG43"/>
  <c r="Z43"/>
  <c r="Y37"/>
  <c r="AF37"/>
  <c r="AE32"/>
  <c r="Z36" i="8" l="1"/>
  <c r="AG36"/>
  <c r="AK12"/>
  <c r="AL12" s="1"/>
  <c r="AB12"/>
  <c r="AI12"/>
  <c r="AB21"/>
  <c r="AI11"/>
  <c r="AK11"/>
  <c r="AB11"/>
  <c r="AF37"/>
  <c r="AG37"/>
  <c r="Z37" i="7"/>
  <c r="AG37"/>
  <c r="AD37"/>
  <c r="AE37"/>
  <c r="AJ11"/>
  <c r="AI10"/>
  <c r="AJ10" s="1"/>
  <c r="AE36"/>
  <c r="X36"/>
  <c r="AH36" i="8" l="1"/>
  <c r="AA36"/>
  <c r="AL11"/>
  <c r="AK10"/>
  <c r="Y36" i="7"/>
  <c r="AF36"/>
  <c r="AL10" i="8" l="1"/>
  <c r="AB36"/>
  <c r="AI36"/>
  <c r="Z36" i="7"/>
  <c r="AG36"/>
</calcChain>
</file>

<file path=xl/comments1.xml><?xml version="1.0" encoding="utf-8"?>
<comments xmlns="http://schemas.openxmlformats.org/spreadsheetml/2006/main">
  <authors>
    <author>Ekonom7</author>
    <author>Inet</author>
  </authors>
  <commentList>
    <comment ref="N43" authorId="0">
      <text>
        <r>
          <rPr>
            <b/>
            <sz val="9"/>
            <color indexed="81"/>
            <rFont val="Tahoma"/>
            <family val="2"/>
            <charset val="204"/>
          </rPr>
          <t>Ekonom7:</t>
        </r>
        <r>
          <rPr>
            <sz val="9"/>
            <color indexed="81"/>
            <rFont val="Tahoma"/>
            <family val="2"/>
            <charset val="204"/>
          </rPr>
          <t xml:space="preserve">
на 31.12.14</t>
        </r>
      </text>
    </comment>
    <comment ref="V43" authorId="0">
      <text>
        <r>
          <rPr>
            <b/>
            <sz val="9"/>
            <color indexed="81"/>
            <rFont val="Tahoma"/>
            <family val="2"/>
            <charset val="204"/>
          </rPr>
          <t>Ekonom7:</t>
        </r>
        <r>
          <rPr>
            <sz val="9"/>
            <color indexed="81"/>
            <rFont val="Tahoma"/>
            <family val="2"/>
            <charset val="204"/>
          </rPr>
          <t xml:space="preserve">
на 31.12.15</t>
        </r>
      </text>
    </comment>
    <comment ref="Y43" authorId="1">
      <text>
        <r>
          <rPr>
            <b/>
            <sz val="9"/>
            <color indexed="81"/>
            <rFont val="Tahoma"/>
            <family val="2"/>
            <charset val="204"/>
          </rPr>
          <t>Inet:</t>
        </r>
        <r>
          <rPr>
            <sz val="9"/>
            <color indexed="81"/>
            <rFont val="Tahoma"/>
            <family val="2"/>
            <charset val="204"/>
          </rPr>
          <t xml:space="preserve">
за 9 мес. Поставлено - 59, снято 237</t>
        </r>
      </text>
    </comment>
    <comment ref="Z43" authorId="0">
      <text>
        <r>
          <rPr>
            <b/>
            <sz val="9"/>
            <color indexed="81"/>
            <rFont val="Tahoma"/>
            <family val="2"/>
            <charset val="204"/>
          </rPr>
          <t>Ekonom7:</t>
        </r>
        <r>
          <rPr>
            <sz val="9"/>
            <color indexed="81"/>
            <rFont val="Tahoma"/>
            <family val="2"/>
            <charset val="204"/>
          </rPr>
          <t xml:space="preserve">
на 31.12.15 = 01.01.16</t>
        </r>
      </text>
    </comment>
  </commentList>
</comments>
</file>

<file path=xl/sharedStrings.xml><?xml version="1.0" encoding="utf-8"?>
<sst xmlns="http://schemas.openxmlformats.org/spreadsheetml/2006/main" count="1075" uniqueCount="313">
  <si>
    <t>Таблица 1</t>
  </si>
  <si>
    <t>№ п/п</t>
  </si>
  <si>
    <t>Наименование индикатора</t>
  </si>
  <si>
    <t>Ед. изм.</t>
  </si>
  <si>
    <t>отчет</t>
  </si>
  <si>
    <t>оценка</t>
  </si>
  <si>
    <t>2011 год</t>
  </si>
  <si>
    <t>2012 года</t>
  </si>
  <si>
    <t>2013 год</t>
  </si>
  <si>
    <t>2014 год</t>
  </si>
  <si>
    <t>2015 год</t>
  </si>
  <si>
    <t>2016 год</t>
  </si>
  <si>
    <t>1.</t>
  </si>
  <si>
    <t>Демографическая ситуация</t>
  </si>
  <si>
    <t>12/11</t>
  </si>
  <si>
    <t>13/12</t>
  </si>
  <si>
    <t>14/13</t>
  </si>
  <si>
    <t>1.1.</t>
  </si>
  <si>
    <t>Среднегодовая численность постоянного населения</t>
  </si>
  <si>
    <t>тыс. чел.</t>
  </si>
  <si>
    <t>1.2.</t>
  </si>
  <si>
    <t>Естественный прирост (убыль) человек</t>
  </si>
  <si>
    <t>тыс.чел.</t>
  </si>
  <si>
    <t>1.3.</t>
  </si>
  <si>
    <t>Миграционный прирост (убыль) населения</t>
  </si>
  <si>
    <t>1.4.</t>
  </si>
  <si>
    <t>Численность населения трудоспособного возраста</t>
  </si>
  <si>
    <t>2.</t>
  </si>
  <si>
    <t>Труд</t>
  </si>
  <si>
    <t>2.1.</t>
  </si>
  <si>
    <t>Фонд оплаты труда работников предприятий, организаций расположенных на территории муниципального образования</t>
  </si>
  <si>
    <t>млн. руб.</t>
  </si>
  <si>
    <t>2.2.</t>
  </si>
  <si>
    <t>Среднесписочная численность работников (без внешних совместителей) всех предприятий и организаций</t>
  </si>
  <si>
    <t>2.3.</t>
  </si>
  <si>
    <t>Среднемесячная номинальная начисленная заработная плата работников:</t>
  </si>
  <si>
    <t>2.3.1.</t>
  </si>
  <si>
    <t>крупных и средних предприятий и некоммерческих организаций</t>
  </si>
  <si>
    <t>рублей</t>
  </si>
  <si>
    <t>2.3.2.</t>
  </si>
  <si>
    <t>муниципальных дошкольных образовательных учреждений, в т.ч.:</t>
  </si>
  <si>
    <t>2.3.3.</t>
  </si>
  <si>
    <t>2.3.4.</t>
  </si>
  <si>
    <t>муниципальных общеобразовательных учреждений, в т.ч.:</t>
  </si>
  <si>
    <t>2.3.5.</t>
  </si>
  <si>
    <t xml:space="preserve">       педагогов муниципальных общеобразовательных учреждений</t>
  </si>
  <si>
    <t>2.3.6.</t>
  </si>
  <si>
    <t xml:space="preserve">             -из них учителей муниципальных общеобразовательных учреждений</t>
  </si>
  <si>
    <t>2.3.7.</t>
  </si>
  <si>
    <t>муниципальных учреждений культуры и искусства</t>
  </si>
  <si>
    <t>2.3.8.</t>
  </si>
  <si>
    <t>муниципальных учреждений физической культуры и спорта</t>
  </si>
  <si>
    <t>3.</t>
  </si>
  <si>
    <t>Предпринимательство</t>
  </si>
  <si>
    <t>3.1.</t>
  </si>
  <si>
    <t>Число субъектов малого и среднего предпринимательства, в т.ч.</t>
  </si>
  <si>
    <t>единиц на 10 тыс. чел.</t>
  </si>
  <si>
    <t>показатели  оценка эффективности</t>
  </si>
  <si>
    <t>индивидуальных предпринимателей</t>
  </si>
  <si>
    <t>3.2.</t>
  </si>
  <si>
    <t>Среднесписочная численность работников (без внешних совместителей), занятых на малых предприятиях</t>
  </si>
  <si>
    <t>3.3.</t>
  </si>
  <si>
    <t>4.</t>
  </si>
  <si>
    <t>Потребительский рынок</t>
  </si>
  <si>
    <t>4.1.</t>
  </si>
  <si>
    <t xml:space="preserve"> Оборот розничной торговли</t>
  </si>
  <si>
    <t>млн. руб</t>
  </si>
  <si>
    <t>4.2.</t>
  </si>
  <si>
    <t>Оборот общественного питания</t>
  </si>
  <si>
    <t>4.3.</t>
  </si>
  <si>
    <t>Объем реализации платных услуг населению</t>
  </si>
  <si>
    <t>5.</t>
  </si>
  <si>
    <t>Образование</t>
  </si>
  <si>
    <t>5.1.</t>
  </si>
  <si>
    <t>Общая численность детей в возрасте 1 - 6 лет</t>
  </si>
  <si>
    <t>чел.</t>
  </si>
  <si>
    <t>5.2.</t>
  </si>
  <si>
    <t>Количество детей в возрасте 1 - 6 лет, получающих дошкольную образовательную услугу и (или) услугу по их содержанию в муниципальных образовательных учреждениях</t>
  </si>
  <si>
    <t>5.3.</t>
  </si>
  <si>
    <t>Количество детей в возрасте 1 - 6 лет, стоящих на учете для определения в муниципальные дошкольные образовательные учреждения</t>
  </si>
  <si>
    <t>5.4.</t>
  </si>
  <si>
    <t>Общая численность обучающихся в муниципальных общеобразовательных учреждениях</t>
  </si>
  <si>
    <t>5.5.</t>
  </si>
  <si>
    <t>Количество обучающихся в муниципальных общеобразовательных учреждениях, занимающихся во вторую (третью) смену</t>
  </si>
  <si>
    <t>6.</t>
  </si>
  <si>
    <t>Прочие показатели</t>
  </si>
  <si>
    <t>6.1.</t>
  </si>
  <si>
    <t>Общая площадь территории городского округа</t>
  </si>
  <si>
    <t>га</t>
  </si>
  <si>
    <t>6.2.</t>
  </si>
  <si>
    <t>Площадь земельных участков, являющихся объектами налогообложения земельным налогом</t>
  </si>
  <si>
    <t>6.3.</t>
  </si>
  <si>
    <t>Общая площадь жилых помещений, приходящаяся в среднем на одного жителя</t>
  </si>
  <si>
    <t>кв.м</t>
  </si>
  <si>
    <t>* - предоставлены показатели за 9 месяцев</t>
  </si>
  <si>
    <t>4.4. Объем работ, выполненных по виду деятельности "строительство" за 2007г</t>
  </si>
  <si>
    <t>предоставлены показатели за 9 месяцев *</t>
  </si>
  <si>
    <t>5. Ввод в действие жилья и объектов соцкультбыта за 2007 г предоставлены показатели за 9 месяцев *</t>
  </si>
  <si>
    <t>5. Потребительский рынок за 2007 год представлены показатели за 9 месяцев *</t>
  </si>
  <si>
    <t>Прогноз на 2011 год 1 Вариант не представлен, отсутствует индекс-дефлятор</t>
  </si>
  <si>
    <t>2017 год</t>
  </si>
  <si>
    <t>прогноз</t>
  </si>
  <si>
    <t>тыс. чел</t>
  </si>
  <si>
    <t>Оборот продукции (услуг), производимый малыми предприятиями, в т.ч.</t>
  </si>
  <si>
    <t>микропредприятиями</t>
  </si>
  <si>
    <t>индивидуальными предпринимателями</t>
  </si>
  <si>
    <t>Исп. Михайлюк И.В.</t>
  </si>
  <si>
    <t xml:space="preserve"> педагогов муниципальных дошкольных образовательных учреждений</t>
  </si>
  <si>
    <t>единиц</t>
  </si>
  <si>
    <t>15/14</t>
  </si>
  <si>
    <t>показатели паспорт города за 2011 год, отчет ОМС, данные статистики в целом по НАО</t>
  </si>
  <si>
    <t>Примечание</t>
  </si>
  <si>
    <t>% соотношение</t>
  </si>
  <si>
    <t>Число индивидуальных предпринимателей</t>
  </si>
  <si>
    <t>6 месяцев 2014</t>
  </si>
  <si>
    <t>0,65*</t>
  </si>
  <si>
    <t>2368,2**</t>
  </si>
  <si>
    <t>778,2**</t>
  </si>
  <si>
    <t>15,5*</t>
  </si>
  <si>
    <t>14,3*</t>
  </si>
  <si>
    <t>23,2*</t>
  </si>
  <si>
    <t>386,4*</t>
  </si>
  <si>
    <t>956,7*</t>
  </si>
  <si>
    <t>22,8*</t>
  </si>
  <si>
    <t>443*</t>
  </si>
  <si>
    <t>292*</t>
  </si>
  <si>
    <t>60 058,0*</t>
  </si>
  <si>
    <t>41 547,9*</t>
  </si>
  <si>
    <t>62 163,5*</t>
  </si>
  <si>
    <t>1 921,3*</t>
  </si>
  <si>
    <t>2168*</t>
  </si>
  <si>
    <t>1642*</t>
  </si>
  <si>
    <t>728*</t>
  </si>
  <si>
    <t>2998*</t>
  </si>
  <si>
    <t>304*</t>
  </si>
  <si>
    <t>9 месяцев 2014</t>
  </si>
  <si>
    <t>65 423,7**</t>
  </si>
  <si>
    <t>0,08***</t>
  </si>
  <si>
    <t>0,1***</t>
  </si>
  <si>
    <t>5014,3***</t>
  </si>
  <si>
    <t>4320*</t>
  </si>
  <si>
    <t>инф-я отсутствует</t>
  </si>
  <si>
    <t>кв.км</t>
  </si>
  <si>
    <t>4,32*</t>
  </si>
  <si>
    <t>2018 год</t>
  </si>
  <si>
    <t>16/15</t>
  </si>
  <si>
    <t>17/16</t>
  </si>
  <si>
    <t>18/17</t>
  </si>
  <si>
    <t>6 месяцев 2015</t>
  </si>
  <si>
    <t>оценка на 15.04.15</t>
  </si>
  <si>
    <t>индекс потребительских цен</t>
  </si>
  <si>
    <t>статистические показатели предоставляются только по итогам года</t>
  </si>
  <si>
    <t>3254</t>
  </si>
  <si>
    <t>407</t>
  </si>
  <si>
    <t>15,3*</t>
  </si>
  <si>
    <t>66902,5*</t>
  </si>
  <si>
    <t>статистические показатели с сайта. За 6 мес. инф-ция не предоставляется, т.к.не наступил срок формирования Росстатом инф-ции</t>
  </si>
  <si>
    <t>статистические показатели предоставляются только по итогам года.Прогноз составлен с учетом доведенных ИПЦ</t>
  </si>
  <si>
    <t xml:space="preserve">оценка </t>
  </si>
  <si>
    <t>* - по состоянию на 01.01.2015</t>
  </si>
  <si>
    <t>Прогноз социально-экономического развития МО "Городской округ "Город Нарьян-Мар" на 2016 год и плановый период 2017-2019 годов</t>
  </si>
  <si>
    <t>по итогам за  2015</t>
  </si>
  <si>
    <t xml:space="preserve"> Предварительные итоги социально-экономического развития города Нарьян-Мара за 9 месяцев 2015 года и ожидаемые итоги социально-экономического развития города Нарьян-Мара за 2015 год</t>
  </si>
  <si>
    <t xml:space="preserve">отчет </t>
  </si>
  <si>
    <t>отчет на 01.08.2015</t>
  </si>
  <si>
    <t>оценка на 01.08.2015</t>
  </si>
  <si>
    <t>уточненный</t>
  </si>
  <si>
    <t>на 15.04.15</t>
  </si>
  <si>
    <t>на 01.10.2015</t>
  </si>
  <si>
    <t>на 23.11.2015</t>
  </si>
  <si>
    <t xml:space="preserve"> на 01.10.2015</t>
  </si>
  <si>
    <t>9 месяцев 2015</t>
  </si>
  <si>
    <t>2019 год</t>
  </si>
  <si>
    <t xml:space="preserve">За 2014 год данные уточнены. данные Территориального органа государственной статистики по НАО  за 2015 год </t>
  </si>
  <si>
    <t>поправить за 2014 на 23,665</t>
  </si>
  <si>
    <t xml:space="preserve">данные Территориального органа государственной статистики по НАО  за 2015 год </t>
  </si>
  <si>
    <t>14,6*</t>
  </si>
  <si>
    <t>статданные по возрастнум группам за год формируется не  ранее июля следующего года за отчетным</t>
  </si>
  <si>
    <t>5 406,7***</t>
  </si>
  <si>
    <t>Показатель определен расчетным путем исходя из статданных по крупным и средним организациям, числа инд.предпринимателей и средней зарплаты</t>
  </si>
  <si>
    <t>в том числе</t>
  </si>
  <si>
    <t>2.1.1.</t>
  </si>
  <si>
    <t>Фонд оплаты труда работников  крупных и средних организаций, расположенных на территории муниципального образования</t>
  </si>
  <si>
    <t>12,865***</t>
  </si>
  <si>
    <t>Показатель определен расчетным путем исходя из статданных по крупным и средним организациям, числа инд.предпринимателей</t>
  </si>
  <si>
    <t>2.2.1.</t>
  </si>
  <si>
    <t>Среднесписочная численность работников (без внешних совместителей) крупных и средних организаций</t>
  </si>
  <si>
    <t>2.2.2.</t>
  </si>
  <si>
    <t>Среднесписочная численность работников (без внешних совместителей) малых и средних организаций</t>
  </si>
  <si>
    <t>из оценки СЭР</t>
  </si>
  <si>
    <t>70 044,0***</t>
  </si>
  <si>
    <t>из отчета УО ЗП-образование за 2015 год. Полномочия образования переданы в НАО с 01.01.2016</t>
  </si>
  <si>
    <t>полномочия культуры переданы в НАО с 01.01.2015</t>
  </si>
  <si>
    <t>Уточнены данные ИМНС №4 по Арх.области и НАО за 2013,2014 годы и предоставлены данные за 2015 год</t>
  </si>
  <si>
    <t>Число субъектов малого и среднего предпринимательства, всего, в т.ч.</t>
  </si>
  <si>
    <t>Прогноз составлен с учетом доведенных ИПЦ. За 2015 год применен фактический индекс на услуги 115,35%</t>
  </si>
  <si>
    <t>данные Территориального органа государственной статистики по НАО  за 2015 год . Прогноз составлен с учетом доведенных ИПЦ</t>
  </si>
  <si>
    <t>данные Территориального органа государственной статистики по НАО  за 2015 год .  Прогноз составлен с учетом доведенных ИПЦ</t>
  </si>
  <si>
    <t>показатели 2011 года, за 2012,2013,2014,2015 отсутсвуют. Прогноз составлен с учетом доведенных ИПЦ. За 2015 год применен фактический индекс на услуги 111,66%</t>
  </si>
  <si>
    <t>уточнен показатель за 2014 год по данным Территориального органа государственной статистики по НАО . .Показатели 2016 - 2017 ггне указаны,  т.к. с 2016 года мун.учр-я образования переданы в округ</t>
  </si>
  <si>
    <t>В 2015 году рост показателя обусловлен  введением в эксплуатацию ДОУ на 220 мест..Показатели 2016 - 2017 ггне указаны,  т.к. с 2016 года мун.учр-я образования переданы в округ</t>
  </si>
  <si>
    <t>В 2015 году  снижение показателя обусловлено   введением в эксплуатацию ДОУ на 220 мест. В связи с вступлением в силу закона НАО от 09.09.2014 № 95-оз и передачей полномочий с 2016 года, данные на плановый период неотражены.</t>
  </si>
  <si>
    <t xml:space="preserve">Рост показателя обусловлен ростом числа обучающихся в связи с миграционным ростом населения, переходом учащихся из образовательных учреждений других муниципальных образований, переездом из сельской местности в город Нарьян-Мар. 
В связи с вступлением в силу закона НАО от 09.09.2014 № 95-оз и передачей полномочий муниципального образования в области образования с 2016 года, данные на плановый период не отражены. 
</t>
  </si>
  <si>
    <t xml:space="preserve">Во вторую смену продолжают обучаться дети школы № 1 (20%) и  школы № 3 (20,6%). В связи с тенденцией роста численности обучающихся с 1 сентября 2015 года на двусменный режим работы перешла школа № 4. В связи с вступлением в силу закона НАО от 09.09.2014 № 95-оз и передачей полномочий муниципального образования в области образования с 2016 года, данные на плановый период не отражены. </t>
  </si>
  <si>
    <t xml:space="preserve">В 2015 году границы МО изменены посредством отнесения к территории МО зем.участка общей площадью 151 842 м2 . Заполярным районом передан участок полигона по размещению ТБО. Регистрация в кадастровой плате пройдет в 2016 году. </t>
  </si>
  <si>
    <t>Уточнен показатель за 2014 год по данным статуправления. Показатель за 2015 год вырос по сравнению с 2014 годом в связи с вводом в эксплуатацию в 2015 году четырех новых МКД по ул.Швецова д.3 (11 452,7 м2), ул.Заводская д.11 (828,9 м2) и Заводская д.16 (828,9 м2), ул.Первомайской д.16 (2 100,2), общей жилой площадью 15 210,7 м2. 
За 2015 год снесено 6 МКД общей жилой площадью 2 312,8 кв.м (Рыбников 7 (118,4м2), 60 лет Октября 7 (104 м2), Полярная 1а (540,3 м2), Рыбников 21А (528,2 м2), Выуческого 40А (398,6 м2), Смидовича 30 (623,3 м2) и расселено 7 МКД общей жилой площадью 3 885,2 м2.
По состоянию на 31.12.2015 в МО числится 416 многоквартирных домов общей жилой площадью 494 253,7 м2 и 865 индивидуальных жилых домов общей жилой площадью 82 379,7 м2.
В 2016 году планируется ввод в эксплуатацию 1 МКД шестисекционный по ул. Авиаторов общей жилой площадью 6 843,76 кв.м (заказчик КУ НАО "Центрстройзаказчик").</t>
  </si>
  <si>
    <t>3,728871***</t>
  </si>
  <si>
    <t>Показатель по данным МИФНС России по НАО № 4</t>
  </si>
  <si>
    <t>** - за период с января по март 2015</t>
  </si>
  <si>
    <t>*** - за период с января по июнь 2015</t>
  </si>
  <si>
    <t>по итогам за  6 мес. 2016  к 01.08.2016</t>
  </si>
  <si>
    <t>6 месяцев 2016</t>
  </si>
  <si>
    <t>статистические показатели предоставляются только по состоянию на 1 января отчетного года (последние данные на 01.01.2016)</t>
  </si>
  <si>
    <t>статистические показатели предоставляются только по итогам года, уточнен показатель за 2015 год</t>
  </si>
  <si>
    <t>* - по состоянию на 01.01.2016</t>
  </si>
  <si>
    <t>** - за период с января по март 2016</t>
  </si>
  <si>
    <t>*** - за период с января по июнь 2016</t>
  </si>
  <si>
    <t>Уточнены данные ИМНС №4 по Арх.области и НАО за 2013,2014 годы и предоставлены данные за 2015 год, промежуточные данные не предоставляются</t>
  </si>
  <si>
    <r>
      <t xml:space="preserve">статистические показатели с сайта. За 6 мес. инф-ция не предоставляется, т.к.не наступил срок формирования Росстатом инф-ции. </t>
    </r>
    <r>
      <rPr>
        <b/>
        <sz val="11"/>
        <rFont val="Times New Roman CYR"/>
        <charset val="204"/>
      </rPr>
      <t>Данные за январь-март 2016</t>
    </r>
  </si>
  <si>
    <t>Полномочия образования переданы в НАО с 01.01.2016</t>
  </si>
  <si>
    <t>по росреестру на 01.08.16 - 830</t>
  </si>
  <si>
    <t>по росреестру на 01.08.16 - 569</t>
  </si>
  <si>
    <t>По состоянию на 31.12.2015 в МО числится 416 многоквартирных домов общей жилой площадью 494 253,7 м2 и 865 индивидуальных жилых домов общей жилой площадью 82 379,7 м2.
В 2016 году планируется ввод в эксплуатацию 1 МКД шестисекционный по ул. Авиаторов общей жилой площадью 6 843,76 кв.м (заказчик КУ НАО "Центрстройзаказчик"). В связи с передачей с 01.01.2016 полномочий по строительству жилфонда  в НАО, информация отсутствует</t>
  </si>
  <si>
    <r>
      <t xml:space="preserve">статистические показатели с сайта. За 6 мес. инф-ция не предоставляется, т.к.не наступил срок формирования Росстатом инф-ции. </t>
    </r>
    <r>
      <rPr>
        <b/>
        <sz val="11"/>
        <rFont val="Times New Roman CYR"/>
        <charset val="204"/>
      </rPr>
      <t>Данные за январь-март 2016, рост численности работников в сельском хозяйстве, строительстве, образовании, добыче полезных ископаемых, торговле.</t>
    </r>
  </si>
  <si>
    <r>
      <t xml:space="preserve">Уточнены данные ИМНС №4 по Арх.области и НАО за 2013,2014 годы и предоставлены данные за 2015 год, промежуточные данные не предоставляются. </t>
    </r>
    <r>
      <rPr>
        <b/>
        <sz val="10"/>
        <rFont val="Times New Roman Cyr"/>
        <charset val="204"/>
      </rPr>
      <t>С 01.08.2015 начата регистрация на госсайте ФНС  росреестра субъектов малого и ср. предпринимательства</t>
    </r>
  </si>
  <si>
    <t xml:space="preserve">Заполярным районом передан участок полигона по размещению ТБО. Регистрация в кадастровой палате прошла в 1 полугодии 2016 года. </t>
  </si>
  <si>
    <t>ВАРИАНТ НЕ СОГЛАСОВАН КИСЛЯКОВОЙ Е.С.</t>
  </si>
  <si>
    <t>по итогам за  9 мес. 2016  к 30.10.2016</t>
  </si>
  <si>
    <t>2016 год по итогам за 6 мес.</t>
  </si>
  <si>
    <t>9 месяцев 2016</t>
  </si>
  <si>
    <t>2.4.</t>
  </si>
  <si>
    <t>Уровень безработицы</t>
  </si>
  <si>
    <t>по новой форме</t>
  </si>
  <si>
    <t>%</t>
  </si>
  <si>
    <t>2.5.</t>
  </si>
  <si>
    <t>Прожиточный минимум на душу населения</t>
  </si>
  <si>
    <t>- индивидуальных предпринимателей</t>
  </si>
  <si>
    <t>- юридических лиц</t>
  </si>
  <si>
    <t>Количество индивидуальных предпринимателей, применяющих патентную систему налогообложения</t>
  </si>
  <si>
    <t>Индекс потребительских цен (декабрь к декабрю)</t>
  </si>
  <si>
    <t>Жилищное строительство и обеспечение граждан жильем</t>
  </si>
  <si>
    <t>Количество многоквартирных домов</t>
  </si>
  <si>
    <t>Общая площадь жилых помещений муниципального жилого фонда</t>
  </si>
  <si>
    <t>тыс.кв.м.</t>
  </si>
  <si>
    <t>Объем жилищного строительства</t>
  </si>
  <si>
    <t>Количество граждан, получивших жилые помещения и улучшивших жилищные условия в отчетном периоде из числа граждан, состоящих на учете в качестве нуждающегося в жилых помещениях</t>
  </si>
  <si>
    <t>5.6.</t>
  </si>
  <si>
    <t>Количество граждан, состоящих на учете в качестве нуждающихся в жилых помещениях</t>
  </si>
  <si>
    <t>Организация муниципального управления</t>
  </si>
  <si>
    <t>Сумма доходов местного бюджета, всего, в т.ч.</t>
  </si>
  <si>
    <t>собственные налоговые и неналоговые доходы местного бюджета</t>
  </si>
  <si>
    <t>межбюджетные трансферты</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</si>
  <si>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</si>
  <si>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6.2.1.</t>
  </si>
  <si>
    <t>Расходы бюджета муниципального образования на содержание работников органов местного самоуправления</t>
  </si>
  <si>
    <t>7.</t>
  </si>
  <si>
    <t>тыс.руб.</t>
  </si>
  <si>
    <t>5.2.1.</t>
  </si>
  <si>
    <t>Общая протяженность автомобильных дорог общего пользования местного значения</t>
  </si>
  <si>
    <t>км</t>
  </si>
  <si>
    <t>Протяженность автомобильных дорог общего пользования местного значения, отвечающих нормативным требованиям</t>
  </si>
  <si>
    <t>7.1.</t>
  </si>
  <si>
    <t>7.2.</t>
  </si>
  <si>
    <t>7.3.</t>
  </si>
  <si>
    <t>7.4.</t>
  </si>
  <si>
    <t>из свода МКД на 30.09.16</t>
  </si>
  <si>
    <t>из свода МКД на 30.09.17</t>
  </si>
  <si>
    <t>статистические показатели с сайта за 6 мес. 2016</t>
  </si>
  <si>
    <t>Среднемесячная номинальная начисленная заработная плата работников крупных и средних предприятий и некоммерческих организаций</t>
  </si>
  <si>
    <t>расчетным путем</t>
  </si>
  <si>
    <t>ДАННЫХ НЕТ</t>
  </si>
  <si>
    <t>жду инф. От УМИ</t>
  </si>
  <si>
    <t>жду инф. От УС</t>
  </si>
  <si>
    <t>жду инф. От УФ</t>
  </si>
  <si>
    <t>жду инф. От жилотдела</t>
  </si>
  <si>
    <t>семей</t>
  </si>
  <si>
    <t>по данным УМИ, пояснений нет</t>
  </si>
  <si>
    <t>5777,5431***</t>
  </si>
  <si>
    <t xml:space="preserve">По данным Территориального органа федеральной службы государственной статистики по НАО </t>
  </si>
  <si>
    <t>Рост показателя за 2016 год связан с ростом среднемесячной номинальной начисленной заработной платы и среднесписочной численности работников крупных и средних организаций.</t>
  </si>
  <si>
    <t>по данным Территориального органа федеральной службы государственной статистики по НАО  с сайта за 6 мес. 2016. Увеличение численности работников по отрасли сельское хозяйство, добыча полезных ископаемых, торговля, предоставление услуг, образование.</t>
  </si>
  <si>
    <t xml:space="preserve">по данным Территориального органа федеральной службы государственной статистики по НАО статистические показатели с сайта за 6 мес. 2016. </t>
  </si>
  <si>
    <t>По данным КУ НАО "Центр занятости населения"  на 01.09.2016</t>
  </si>
  <si>
    <t xml:space="preserve">в соответствии с постановлением Администрации Ненецкого автономного округа № 330-п от 19 октября 2016 года за 3 квартал 2016 года </t>
  </si>
  <si>
    <r>
      <t xml:space="preserve">расчетным </t>
    </r>
    <r>
      <rPr>
        <sz val="10"/>
        <rFont val="Times New Roman Cyr"/>
        <charset val="204"/>
      </rPr>
      <t>путем</t>
    </r>
  </si>
  <si>
    <t>По данным единого реестра субъектов малого и среднего предпринимательства, размещенного на  официальном сайте Федеральной налоговой службы</t>
  </si>
  <si>
    <t xml:space="preserve">По статистическим данным Межрайонной инспекции ФНС РФ № 4 по Архангельской области и НАО по форме отчета патент – 1 </t>
  </si>
  <si>
    <t>Прогнозные показатели на 2017 – 2019 годы сформированы с учетом ежегодной динамики роста индекса потребительских цен</t>
  </si>
  <si>
    <t>По данным Территориального органа федеральной службы государственной статистики по НАО .Прогноз составлен с учетом доведенных ИПЦ</t>
  </si>
  <si>
    <t>По данным Территориального органа Федеральной службы государственной статистики по НАО и прогноуз по показателям Минэкономразвития России по сценарным условиям от 06.05.2016</t>
  </si>
  <si>
    <t>по данным реестра муниципального жилья, учет которого ведется в МКУ "УГХ г.Нарьян-Мара", по состоянию на 01.01.2015 составляла 74,8 тыс.м2, на 01.01.2016 – 76,5 тыс.м2, на 01.10.2016 – 87,6 тыс.м2.
До конца 2016 года планируется снести 2 МКД по ул. Явтысова д.1 (общей S жилых помещений муниципальных квартир = 0,9361 м2) и по ул.Рабочая 19А (общей S жилых помещений муниципальных квартир = 0,3038 м2). Общая площадь жилых помещений муниципального жилого фонда на 31.12.2016 составит 86,4 тыс.м2.</t>
  </si>
  <si>
    <t>По данным свода МКД за 9 месяцев 2016 введено новых ИЖД  общей жилой S = 1,2 тыс.м2.
До конца 2016 года планируется ввести в эксплуатацию 2 МКД: по ул. М.Баева д.13 общей жилой S= 1,336 м2 и по ул.Швецова общей жилой S=6,384 м2. В среднем ежегодно строится новых ИЖД  общей жилой S = 8 тыс.м2.
Общий объем жилищного строительства составит в 2016 году  15,72 тыс.м2.
Прогнозный показатель объема жилищного строительства на 2017 – 2019 годы установлен по среднегодовому объему строительства в размере 15 тыс.м2 ежегодно.</t>
  </si>
  <si>
    <t>В 2015 году свои жилищные условия улучшили 268 семей (в 2014 – 170 семей), в том числе получили новые квартиры 162 семьи по социальной очереди. Кроме того, 106 семей - по программе переселения из ветхого жилья.
За 9 месяцев 2016 года улучшило жилищные условия 212 семей. По итогам 2016 года планируется заселить в новые дома 282 семьи.</t>
  </si>
  <si>
    <t xml:space="preserve">По состоянию на 01.01.2016 на учете нуждающихся в жилых помещениях по договорам социального найма в Администрации МО "Городской округ "Город Нарьян-Мар" состоят 1 583 семьи (на 01.01.2015 – 1 793 семьи). За 2015 год с учёта снято 286 семей, принято на учёт 76 семей. 
По состоянию на 30.09.2016 на учете нуждающихся в жилых помещениях по договорам социального найма состоят 1 405 семьи За 9 месяцев 2016 года с учета снято 237 семей, принято на учет 59 семей. Планируется, что по состоянию на 31.12.2016 года на учете нуждающихся в жилых помещениях будет стоять 1 415 семей, т.е. до конца года будет снято с учета еще порядка 20 семей и встанут на учет еще порядка 10 семей. </t>
  </si>
  <si>
    <t>Показатель за 2015 год вырос по сравнению с 2014 годом в связи с вводом в эксплуатацию в отчетном году четырех новых МКД и составил 23,8 м2 на одного жителя.
По состоянию на 30.09.2016 показатель составил 24,3 м2 на одного жителя. в связи с уточнением данных по индивидуальному жилому фонду.
В связи с ожидаемым вводом в эксплуатацию до конца 2016 года двух МКД (по по ул. М.Баева д.13 и по ул.Швецова), показатель общей площади жилых помещений, приходящейся на одного жителя составит 24,9 м.</t>
  </si>
  <si>
    <t>Снижение размера межбюджетных трансфертов по сравнению с 2015 годом в 92 раза произошло в связи с передачей полномочий в соответствии с законом НАО от 09.09.2014 № 95-оз и в связи с необоснованным отказом Департамента финансов и экономики НАО в предоставлении дотации городскому бюджету на выравнивание бюджетной обеспеченности в 2016 году.
Прогнозный показатель размера  доходов местного бюджета на 2017 – 2019 годы установлен с учетом снижения размера межбюджетных трансфертов в связи с оптимизацией расходов бюджетов всех уровней и повышением размера собственных налоговых и неналоговых доходов.</t>
  </si>
  <si>
    <t xml:space="preserve">Прогнозный показатель размера  расходов местного бюджета на 2017 – 2019 годы установлен с учетом сокращения расходов в связи с продолжением мероприятий по сокращению  фонда оплаты труда органов местного самоуправления, проведением организационно-штатных мероприятий по сокращению муниципальных служащих, оптимизацией расходов городского бюджета. </t>
  </si>
  <si>
    <t>В 2015 году границы МО изменены посредством отнесения к территории МО земельного участка общей площадью 151 842 м2 . Заполярным районом передан участок полигона по размещению ТБО. Регистрация в кадастровой плате прошла в 2016 году.</t>
  </si>
  <si>
    <t>Показатель по данным МИФНС России по НАО № 4.Изменение показателя в 2016 году по сравнению с 2015 годом связано с выкупом земельных учасков физическими лицами в связи действием льготной выкупной цены. Увеличение доли площади земельных участков, являющихся объектами налогообложения в планируемом периоде спрогнозировано в объемах, сопоставимых с динамикой показателя за предыдущие периоды.</t>
  </si>
  <si>
    <t>Общая протяженность автомобильных дорог общего пользования местного значения по состоянию на 31.12.2015 составляла 37,8 км. 
В 2016 году была проведена паспортизация автомобильных дорог. Постановлением Администрации МО "ГО "Город Нарьян-Мар" от 05.07.2016 № 771 перечень автомобильных дорог общего пользования местного значения МО "Городской округ "Город Нарьян-Мар" общей протяженностью 41,8 км.
До конца 2016 года планируется ввести в эксплуатацию 2,7 км дороги: по ул. Рыбников – ЦОС (490м), ул.Полярная – ул.Рыбников (895 м), ул.Сущинского (710 м), ул.Швецова (606м). Общая протяженность автомобильных дорог общего пользования местного значения составит 44,5 км.</t>
  </si>
  <si>
    <t>В 2016 году из 44,5 км дорог местного значения будет соответствовать нормативным требованиям 6,838 км по 13 дорогам пр. Матросова (348 м), ул. Чернова (415 м), ул. Ненецкая (665 м), ул. Победы (262 м), ул. Пырерка (512 м), ул. Рыбников (859 м), ул. Тыко-Вылко (500 м), ул. Зеленая (196 м) , ул. Строительная (380 м), ул. Рыбников - ЦОС (490м), ул.Полярная – ул.Рыбников (895 м), ул. Сущинского (710 м), ул.Швецова (606м). Увеличение показателя в связи с уточнением протяженности дорог и вводом в эксплуатацию новых автомобильных дорог общего пользования местного значения
Изменение показателя в прогнозном периоде не ожидается в связи с дефицитом бюджетных средств на всех уровнях.</t>
  </si>
  <si>
    <t xml:space="preserve">На территории города к концу 2015 года располагалось 416 многоквартирных домов (МКД) и 865 индивидуальных жилых домов (ИЖД). 
По оперативным данным реестра МКД и отчету 1-жилфонд, по состоянию на 30.09.2016 число МКД составило 410 домов и ИЖД – 919. В 2016 году проведена инвентаризация жилфонда по результатам которой перечень ИЖД увеличился на 54 дома.
До конца 2016 года планируется снести 2 МКД (по ул. Явтысова д.1 и по ул.Рабочая 19А) и введение в эксплуатацию 2 МКД (по ул. М.Баева д.13 и по ул.Швецова). Общее количество МКД составит 410 домов.                                                                                                                              Прогнозный показатель количества МКД на 2017 – 2019 годы установлен из следующих параметров:
Планируемое количество МКД на конец 2017 года - 408:будет снесено 6 жилых домов  – по ул. Выучейского д.38, д. 40,  ул. Смидовича д. 9, пер. Рыбацкий д. 18,  ул. Октябрьская д.4, ул. Юбилейная д.22А;  введено в эксплуатацию 4 жилых дома: 60 кв. жилой дом по ул. Тыко-Вылка; 42-х кв. жилой дом по ул. Южная; 24-х кв. жилой дом по ул. Южная; многоквартирный жилой дом по ул. Полярная;
Планируемое количество МКД на конец 2018 года - 407:будет снесено 5 жилых домов – информация взята из МП " Обеспечение доступным и комфортным жильем, коммунальными и бытовыми услугами населения города"; введено в эксплуатацию 4 жилых дома: 294 кв. жилой дом по ул. Авиаторов; 14-х кв. жилой дом по ул. Южная; многоквартирный жилой дом по ул. Ленина, д.3; 33-х кв. жилой дом по ул. Первомайская.
Планируемое количество МКД на конец 2019 года - 404:будет снесено 5 жилых домов – информация взята из МП " Обеспечение доступным и комфортным жильем, коммунальными и бытовыми услугами населения города"; введено в эксплуатацию 2 жилых дома: 2 многоквартирных жилых дома по ул. по ул. Авиаторов </t>
  </si>
  <si>
    <t>На территории города к концу 2015 года располагалось 416 многоквартирных домов (МКД) общей площадью 494,3 тыс.кв.м и 865 индивидуальных жилых домов (ИЖД) общей площадью 82,9 тыс. кв.м. Общая площадь жилых помещений составила 577,2 тыс. м2.
По оперативным данным реестра МКД и отчету 1-жилфонд по состоянию на 30.09.2016 число МКД составляет 410 домов общей площадью 491,9 тыс. м2 и ИЖД – 919 домов общей площадью 111,6 тыс.м2. Общая площадь жилых помещений составила 603,5 тыс.м2.
В 2016 году проведена инвентаризация жилфонда по результатам которой перечень ИЖД увеличился на 54 дома общей S = 27,4 тыс.м2. За 9 месяцев 2016 года снесено 5 МКД общей S = 2 177,59 м2 (Пырерко 12- 511,5 м2; Смидовича 14 - 459,6 м2 , Комсомольская 4 - 482,6 м2, Явтысого 1А- 498 м2; Октябрьская 37 - 225,89 м2). Новых МКД не вводилось. По данным свода МКД за 9 месяцев 2016 введено новых ИЖД  общей жилой S = 1,2 тыс.м2.
До конца 2016 года планируется снести 2 МКД по ул. Явтысова д.1 (общей S жил. помещений = 0,995 тыс.м2) и по ул.Рабочая 19А (общей S жил. помещений =0,503тыс. м2) и введение в эксплуатацию 2 МКД: по ул. М.Баева д.13 общей жилой S= 1,4 тыс.м2 и по ул.Швецова общей жилой S=6,8 тыс.м2. В среднем ежегодно строится новых ИЖД  общей жилой S = 8 тыс.м2.Общая площадь жилых помещений составит в 2016 году - 617,1 тыс.м2.
Планируемое количество многоквартирных домов на конец 2017 года – 408: будет снесено 6 жилых домов (общ. площадь жилых помещений 1, 953 тыс. м2) – по ул. Выучейского д.38 (404м2), д. 40( 392,8 м2),  ул. Смидовича д. 9 (483,3 м2), пер. Рыбацкий д. 18 ( 332,7м2),  ул. Октябрьская д.4 ( 143,1 м2), ул. Юбилейная д.22А (197,2 м2); введено в эксплуатацию 4 жилых дома (общ. площадь жилых помещений 9,3 тыс. м2): 60 кв. жилой дом по ул. Тыко-Вылка (3,1 тыс. м2) ; 42-х кв. жилой дом по ул. Южная (2,6 тыс. м2); 24-х кв. жилой дом по ул. Южная (1,4 тыс. м2); многоквартирный жилой дом по ул. Полярная (2,2 тыс. м2). В среднем ежегодно строится новых ИЖД  общей жилой S = 8 тыс.м2.;
Планируемое количество многоквартирных домов на конец 2018 года – 407:будет снесено 5 жилых домов (общ. площадь жилых помещений 2,0 тыс. м2) – информация взята из МП " Обеспечение доступным и комфортным жильем, коммунальными и бытовыми услугами населения города"; введено в эксплуатацию 4 жилых дома (общ. площадь жилых помещений 19,4 тыс. м2): 294 кв. жилой дом по ул. Авиаторов (14,3 тыс. м2) ; 14-х кв. жилой дом по ул. Южная (0,7 тыс. м2); многоквартирный жилой дом по ул. Ленина, д.3 (2,9 тыс. м2); 33-х кв. жилой дом по ул. Первомайская (1,5 тыс. м2). В среднем ежегодно строится новых ИЖД  общей жилой S = 8 тыс.м2.;
Планируемое количество многоквартирных домов на конец 2019 года – 404: будет снесено 5 жилых домов (общ. площадь жилых помещений 2,0 тыс. м2) – информация взята из МП " Обеспечение доступным и комфортным жильем, коммунальными и бытовыми услугами населения города"; введено в эксплуатацию 2 жилых дома (общ. площадь жилых помещений 14,5 тыс. м2): 2 многоквартирных жилых дома по ул. по ул. Авиаторов. В среднем ежегодно строится новых ИЖД общей жилой S = 8 тыс.м2.</t>
  </si>
  <si>
    <t>Общая площадь жилых помещений (МКД + ИЖД), всего, в том числе:</t>
  </si>
  <si>
    <t>Прогноз социально-экономического развития МО "Городской округ "Город Нарьян-Мар" на 2017 год и плановый период 2018-2019 годов</t>
  </si>
  <si>
    <t>5777,5*</t>
  </si>
  <si>
    <t>72340,5*</t>
  </si>
  <si>
    <t>104,34**</t>
  </si>
  <si>
    <t>58*</t>
  </si>
  <si>
    <t>* - за период с января по июнь 2016</t>
  </si>
  <si>
    <t>** - отношение цен в августе 2016 к декабрю 2015 года</t>
  </si>
  <si>
    <t xml:space="preserve"> Предварительные итоги социально-экономического развития города Нарьян-Мара за 9 месяцев 2016 года и ожидаемые итоги социально-экономического развития города Нарьян-Мара за 2016 год</t>
  </si>
  <si>
    <t>на 30.10.2016</t>
  </si>
</sst>
</file>

<file path=xl/styles.xml><?xml version="1.0" encoding="utf-8"?>
<styleSheet xmlns="http://schemas.openxmlformats.org/spreadsheetml/2006/main">
  <numFmts count="11">
    <numFmt numFmtId="164" formatCode="_-* #,##0.00_р_._-;\-* #,##0.00_р_._-;_-* &quot;-&quot;??_р_._-;_-@_-"/>
    <numFmt numFmtId="165" formatCode="0.0"/>
    <numFmt numFmtId="166" formatCode="_(* #,##0.00_);_(* \(#,##0.00\);_(* &quot;-&quot;??_);_(@_)"/>
    <numFmt numFmtId="167" formatCode="0.0%"/>
    <numFmt numFmtId="168" formatCode="#,##0.0"/>
    <numFmt numFmtId="169" formatCode="_(* #,##0.0_);_(* \(#,##0.0\);_(* &quot;-&quot;??_);_(@_)"/>
    <numFmt numFmtId="170" formatCode="_(* #,##0_);_(* \(#,##0\);_(* &quot;-&quot;??_);_(@_)"/>
    <numFmt numFmtId="171" formatCode="0.000"/>
    <numFmt numFmtId="172" formatCode="#,##0.000"/>
    <numFmt numFmtId="173" formatCode="_-* #,##0.000_р_._-;\-* #,##0.000_р_._-;_-* &quot;-&quot;???_р_._-;_-@_-"/>
    <numFmt numFmtId="174" formatCode="_-* #,##0.000_р_._-;\-* #,##0.000_р_._-;_-* &quot;-&quot;?_р_._-;_-@_-"/>
  </numFmts>
  <fonts count="27">
    <font>
      <sz val="10"/>
      <name val="Arial"/>
    </font>
    <font>
      <sz val="10"/>
      <name val="Arial"/>
      <family val="2"/>
      <charset val="204"/>
    </font>
    <font>
      <sz val="10"/>
      <name val="Times New Roman Cyr"/>
      <family val="1"/>
      <charset val="204"/>
    </font>
    <font>
      <b/>
      <sz val="11"/>
      <name val="Times New Roman CYR"/>
      <family val="1"/>
      <charset val="204"/>
    </font>
    <font>
      <sz val="11"/>
      <name val="Times New Roman Cyr"/>
      <family val="1"/>
      <charset val="204"/>
    </font>
    <font>
      <b/>
      <sz val="11"/>
      <name val="Times New Roman"/>
      <family val="1"/>
    </font>
    <font>
      <sz val="11"/>
      <name val="Arial"/>
      <family val="2"/>
      <charset val="204"/>
    </font>
    <font>
      <sz val="11"/>
      <name val="Times New Roman"/>
      <family val="1"/>
      <charset val="204"/>
    </font>
    <font>
      <b/>
      <sz val="11"/>
      <name val="Times New Roman"/>
      <family val="1"/>
      <charset val="204"/>
    </font>
    <font>
      <sz val="11"/>
      <color rgb="FF000000"/>
      <name val="Times New Roman"/>
      <family val="1"/>
      <charset val="204"/>
    </font>
    <font>
      <i/>
      <sz val="11"/>
      <name val="Times New Roman CYR"/>
      <family val="1"/>
      <charset val="204"/>
    </font>
    <font>
      <i/>
      <u/>
      <sz val="11"/>
      <name val="Times New Roman CYR"/>
      <family val="1"/>
      <charset val="204"/>
    </font>
    <font>
      <sz val="11"/>
      <name val="Times New Roman CYR"/>
      <charset val="204"/>
    </font>
    <font>
      <b/>
      <sz val="11"/>
      <name val="Times New Roman CYR"/>
      <charset val="204"/>
    </font>
    <font>
      <b/>
      <sz val="11"/>
      <color rgb="FFFF0000"/>
      <name val="Times New Roman CYR"/>
      <charset val="204"/>
    </font>
    <font>
      <b/>
      <sz val="10"/>
      <name val="Times New Roman Cyr"/>
      <charset val="204"/>
    </font>
    <font>
      <b/>
      <sz val="11"/>
      <color rgb="FFFF0000"/>
      <name val="Times New Roman CYR"/>
      <family val="1"/>
      <charset val="204"/>
    </font>
    <font>
      <b/>
      <sz val="10"/>
      <name val="Times New Roman CYR"/>
      <family val="1"/>
      <charset val="204"/>
    </font>
    <font>
      <b/>
      <sz val="10"/>
      <name val="Times New Roman"/>
      <family val="1"/>
    </font>
    <font>
      <sz val="11"/>
      <color rgb="FFFF0000"/>
      <name val="Times New Roman Cyr"/>
      <family val="1"/>
      <charset val="204"/>
    </font>
    <font>
      <sz val="12"/>
      <color rgb="FFFF0000"/>
      <name val="Times New Roman Cyr"/>
      <family val="1"/>
      <charset val="204"/>
    </font>
    <font>
      <sz val="11"/>
      <color rgb="FFFF0000"/>
      <name val="Times New Roman"/>
      <family val="1"/>
      <charset val="204"/>
    </font>
    <font>
      <sz val="10"/>
      <name val="Times New Roman"/>
      <family val="1"/>
      <charset val="204"/>
    </font>
    <font>
      <b/>
      <sz val="9"/>
      <color indexed="81"/>
      <name val="Tahoma"/>
      <family val="2"/>
      <charset val="204"/>
    </font>
    <font>
      <sz val="9"/>
      <color indexed="81"/>
      <name val="Tahoma"/>
      <family val="2"/>
      <charset val="204"/>
    </font>
    <font>
      <sz val="10"/>
      <name val="Times New Roman Cyr"/>
      <charset val="204"/>
    </font>
    <font>
      <sz val="13"/>
      <name val="Times New Roman Cyr"/>
      <family val="1"/>
      <charset val="204"/>
    </font>
  </fonts>
  <fills count="8">
    <fill>
      <patternFill patternType="none"/>
    </fill>
    <fill>
      <patternFill patternType="gray125"/>
    </fill>
    <fill>
      <patternFill patternType="solid">
        <fgColor theme="0"/>
        <bgColor indexed="64"/>
      </patternFill>
    </fill>
    <fill>
      <patternFill patternType="solid">
        <fgColor theme="0"/>
        <bgColor indexed="34"/>
      </patternFill>
    </fill>
    <fill>
      <patternFill patternType="solid">
        <fgColor theme="6" tint="0.79998168889431442"/>
        <bgColor indexed="64"/>
      </patternFill>
    </fill>
    <fill>
      <patternFill patternType="solid">
        <fgColor theme="0"/>
        <bgColor indexed="26"/>
      </patternFill>
    </fill>
    <fill>
      <patternFill patternType="solid">
        <fgColor rgb="FFFFFF0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xf numFmtId="165" fontId="2" fillId="0" borderId="0" xfId="0" applyNumberFormat="1" applyFont="1"/>
    <xf numFmtId="0" fontId="2" fillId="0" borderId="0" xfId="0" applyFont="1" applyAlignment="1"/>
    <xf numFmtId="0" fontId="4" fillId="0" borderId="0" xfId="0" applyFont="1"/>
    <xf numFmtId="165" fontId="3" fillId="0" borderId="2" xfId="0" applyNumberFormat="1" applyFont="1" applyBorder="1" applyAlignment="1">
      <alignment horizontal="center" vertical="top"/>
    </xf>
    <xf numFmtId="167" fontId="4" fillId="0" borderId="0" xfId="2" applyNumberFormat="1" applyFont="1" applyAlignment="1"/>
    <xf numFmtId="0" fontId="10" fillId="0" borderId="0" xfId="0" applyFont="1" applyFill="1" applyBorder="1" applyAlignment="1">
      <alignment wrapText="1"/>
    </xf>
    <xf numFmtId="0" fontId="4" fillId="0" borderId="0" xfId="0" applyFont="1" applyAlignment="1">
      <alignment horizontal="right"/>
    </xf>
    <xf numFmtId="0" fontId="7" fillId="2" borderId="2" xfId="0" applyFont="1" applyFill="1" applyBorder="1" applyAlignment="1">
      <alignment horizontal="justify" vertical="top" wrapText="1"/>
    </xf>
    <xf numFmtId="1" fontId="2" fillId="2" borderId="2" xfId="1" applyNumberFormat="1" applyFont="1" applyFill="1" applyBorder="1" applyAlignment="1">
      <alignment horizontal="center"/>
    </xf>
    <xf numFmtId="165" fontId="4" fillId="2" borderId="2" xfId="1" applyNumberFormat="1" applyFont="1" applyFill="1" applyBorder="1" applyAlignment="1">
      <alignment horizontal="center"/>
    </xf>
    <xf numFmtId="168" fontId="4" fillId="0" borderId="2" xfId="0" applyNumberFormat="1" applyFont="1" applyBorder="1" applyAlignment="1">
      <alignment wrapText="1"/>
    </xf>
    <xf numFmtId="168" fontId="7" fillId="3" borderId="2" xfId="0" applyNumberFormat="1"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Border="1" applyAlignment="1">
      <alignment horizontal="center"/>
    </xf>
    <xf numFmtId="165" fontId="4" fillId="0" borderId="0" xfId="0" applyNumberFormat="1" applyFont="1" applyAlignment="1">
      <alignment horizontal="center"/>
    </xf>
    <xf numFmtId="165" fontId="4" fillId="0" borderId="2" xfId="1" applyNumberFormat="1" applyFont="1" applyFill="1" applyBorder="1" applyAlignment="1">
      <alignment horizontal="center"/>
    </xf>
    <xf numFmtId="165" fontId="4" fillId="0" borderId="2" xfId="1" applyNumberFormat="1" applyFont="1" applyBorder="1" applyAlignment="1">
      <alignment horizontal="center"/>
    </xf>
    <xf numFmtId="169" fontId="4" fillId="2" borderId="2" xfId="1" applyNumberFormat="1" applyFont="1" applyFill="1" applyBorder="1" applyAlignment="1">
      <alignment horizontal="center"/>
    </xf>
    <xf numFmtId="165" fontId="4" fillId="0" borderId="2" xfId="0" applyNumberFormat="1" applyFont="1" applyBorder="1" applyAlignment="1">
      <alignment horizontal="center"/>
    </xf>
    <xf numFmtId="169" fontId="4" fillId="0" borderId="2" xfId="1" applyNumberFormat="1" applyFont="1" applyFill="1" applyBorder="1" applyAlignment="1">
      <alignment horizontal="center"/>
    </xf>
    <xf numFmtId="169" fontId="4" fillId="0" borderId="2" xfId="1" applyNumberFormat="1" applyFont="1" applyBorder="1" applyAlignment="1">
      <alignment horizontal="center"/>
    </xf>
    <xf numFmtId="168" fontId="2" fillId="2" borderId="2" xfId="1" applyNumberFormat="1" applyFont="1" applyFill="1" applyBorder="1" applyAlignment="1">
      <alignment horizontal="center"/>
    </xf>
    <xf numFmtId="168" fontId="4" fillId="2" borderId="2" xfId="1" applyNumberFormat="1" applyFont="1" applyFill="1" applyBorder="1" applyAlignment="1">
      <alignment horizontal="center"/>
    </xf>
    <xf numFmtId="1" fontId="4" fillId="0" borderId="2" xfId="1" applyNumberFormat="1" applyFont="1" applyBorder="1" applyAlignment="1">
      <alignment horizontal="center"/>
    </xf>
    <xf numFmtId="166" fontId="6" fillId="2" borderId="0" xfId="1" applyFont="1" applyFill="1" applyAlignment="1">
      <alignment horizontal="center"/>
    </xf>
    <xf numFmtId="1" fontId="4" fillId="0" borderId="0" xfId="0" applyNumberFormat="1" applyFont="1" applyAlignment="1">
      <alignment horizontal="center"/>
    </xf>
    <xf numFmtId="2" fontId="4" fillId="0" borderId="2" xfId="1" applyNumberFormat="1" applyFont="1" applyFill="1" applyBorder="1" applyAlignment="1">
      <alignment horizontal="center"/>
    </xf>
    <xf numFmtId="170" fontId="4" fillId="0" borderId="2" xfId="1" applyNumberFormat="1" applyFont="1" applyBorder="1" applyAlignment="1">
      <alignment horizontal="center"/>
    </xf>
    <xf numFmtId="0" fontId="6" fillId="2" borderId="0" xfId="0" applyFont="1" applyFill="1" applyBorder="1" applyAlignment="1">
      <alignment horizontal="center"/>
    </xf>
    <xf numFmtId="0" fontId="6" fillId="2" borderId="0" xfId="0" applyFont="1" applyFill="1" applyAlignment="1">
      <alignment horizontal="center"/>
    </xf>
    <xf numFmtId="165" fontId="4" fillId="0" borderId="0" xfId="0" applyNumberFormat="1" applyFont="1" applyBorder="1" applyAlignment="1">
      <alignment horizontal="center"/>
    </xf>
    <xf numFmtId="168" fontId="4" fillId="2" borderId="2" xfId="0" applyNumberFormat="1" applyFont="1" applyFill="1" applyBorder="1" applyAlignment="1">
      <alignment wrapText="1"/>
    </xf>
    <xf numFmtId="169" fontId="7" fillId="0" borderId="2" xfId="1" applyNumberFormat="1" applyFont="1" applyBorder="1" applyAlignment="1">
      <alignment horizontal="center" wrapText="1"/>
    </xf>
    <xf numFmtId="1" fontId="2" fillId="2" borderId="2" xfId="1" applyNumberFormat="1" applyFont="1" applyFill="1" applyBorder="1" applyAlignment="1">
      <alignment horizontal="center" wrapText="1"/>
    </xf>
    <xf numFmtId="0" fontId="7" fillId="2" borderId="2" xfId="0" applyFont="1" applyFill="1" applyBorder="1" applyAlignment="1">
      <alignment horizontal="center" vertical="top"/>
    </xf>
    <xf numFmtId="4" fontId="4" fillId="2" borderId="2" xfId="1" applyNumberFormat="1" applyFont="1" applyFill="1" applyBorder="1" applyAlignment="1">
      <alignment horizontal="center"/>
    </xf>
    <xf numFmtId="4" fontId="2" fillId="2" borderId="2" xfId="1" applyNumberFormat="1" applyFont="1" applyFill="1" applyBorder="1" applyAlignment="1">
      <alignment horizontal="center"/>
    </xf>
    <xf numFmtId="169" fontId="4" fillId="2" borderId="2" xfId="0" applyNumberFormat="1" applyFont="1" applyFill="1" applyBorder="1" applyAlignment="1">
      <alignment horizontal="center"/>
    </xf>
    <xf numFmtId="165" fontId="4" fillId="2" borderId="0" xfId="0" applyNumberFormat="1" applyFont="1" applyFill="1" applyAlignment="1">
      <alignment horizontal="center"/>
    </xf>
    <xf numFmtId="165" fontId="3" fillId="2" borderId="2" xfId="0" applyNumberFormat="1" applyFont="1" applyFill="1" applyBorder="1" applyAlignment="1">
      <alignment horizontal="center" vertical="top"/>
    </xf>
    <xf numFmtId="165" fontId="3" fillId="2" borderId="2"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2" fontId="4" fillId="2" borderId="2" xfId="1" applyNumberFormat="1" applyFont="1" applyFill="1" applyBorder="1" applyAlignment="1">
      <alignment horizontal="center"/>
    </xf>
    <xf numFmtId="165" fontId="4" fillId="2" borderId="2" xfId="0" applyNumberFormat="1" applyFont="1" applyFill="1" applyBorder="1" applyAlignment="1">
      <alignment horizontal="center"/>
    </xf>
    <xf numFmtId="169" fontId="7" fillId="2" borderId="2" xfId="1" applyNumberFormat="1" applyFont="1" applyFill="1" applyBorder="1" applyAlignment="1">
      <alignment horizontal="center" wrapText="1"/>
    </xf>
    <xf numFmtId="1" fontId="4" fillId="2" borderId="2" xfId="1" applyNumberFormat="1" applyFont="1" applyFill="1" applyBorder="1" applyAlignment="1">
      <alignment horizontal="center"/>
    </xf>
    <xf numFmtId="1" fontId="4" fillId="2" borderId="0" xfId="0" applyNumberFormat="1" applyFont="1" applyFill="1" applyAlignment="1">
      <alignment horizontal="center"/>
    </xf>
    <xf numFmtId="171" fontId="7" fillId="2" borderId="7" xfId="0" applyNumberFormat="1" applyFont="1" applyFill="1" applyBorder="1" applyAlignment="1">
      <alignment horizontal="center"/>
    </xf>
    <xf numFmtId="171" fontId="4" fillId="2" borderId="2" xfId="1" applyNumberFormat="1" applyFont="1" applyFill="1" applyBorder="1" applyAlignment="1">
      <alignment horizontal="center"/>
    </xf>
    <xf numFmtId="165" fontId="4" fillId="2" borderId="2" xfId="1" applyNumberFormat="1" applyFont="1" applyFill="1" applyBorder="1" applyAlignment="1">
      <alignment horizontal="center" wrapText="1"/>
    </xf>
    <xf numFmtId="0" fontId="0" fillId="2" borderId="2" xfId="0" applyFill="1" applyBorder="1" applyAlignment="1">
      <alignment horizontal="center"/>
    </xf>
    <xf numFmtId="1" fontId="4" fillId="0" borderId="2" xfId="1" applyNumberFormat="1" applyFont="1" applyBorder="1" applyAlignment="1">
      <alignment horizontal="center" wrapText="1"/>
    </xf>
    <xf numFmtId="0" fontId="6" fillId="0" borderId="2" xfId="0" applyFont="1" applyBorder="1" applyAlignment="1">
      <alignment horizontal="center" wrapText="1"/>
    </xf>
    <xf numFmtId="165" fontId="4" fillId="0" borderId="2" xfId="1" applyNumberFormat="1" applyFont="1" applyBorder="1" applyAlignment="1">
      <alignment horizontal="center" wrapText="1"/>
    </xf>
    <xf numFmtId="0" fontId="6" fillId="0" borderId="2" xfId="0" applyFont="1" applyBorder="1" applyAlignment="1">
      <alignment wrapText="1"/>
    </xf>
    <xf numFmtId="165" fontId="6" fillId="0" borderId="2" xfId="0" applyNumberFormat="1" applyFont="1" applyBorder="1" applyAlignment="1">
      <alignment horizontal="center" wrapText="1"/>
    </xf>
    <xf numFmtId="171" fontId="4" fillId="0" borderId="2" xfId="1" applyNumberFormat="1" applyFont="1" applyFill="1" applyBorder="1" applyAlignment="1">
      <alignment horizontal="center"/>
    </xf>
    <xf numFmtId="0" fontId="6" fillId="4" borderId="2" xfId="0" applyFont="1" applyFill="1" applyBorder="1" applyAlignment="1">
      <alignment wrapText="1"/>
    </xf>
    <xf numFmtId="171" fontId="4" fillId="4" borderId="2" xfId="1" applyNumberFormat="1" applyFont="1" applyFill="1" applyBorder="1" applyAlignment="1">
      <alignment horizontal="center"/>
    </xf>
    <xf numFmtId="2" fontId="4" fillId="4" borderId="2" xfId="1" applyNumberFormat="1" applyFont="1" applyFill="1" applyBorder="1" applyAlignment="1">
      <alignment horizontal="center"/>
    </xf>
    <xf numFmtId="165" fontId="4" fillId="4" borderId="2" xfId="1" applyNumberFormat="1" applyFont="1" applyFill="1" applyBorder="1" applyAlignment="1">
      <alignment horizontal="center"/>
    </xf>
    <xf numFmtId="0" fontId="13" fillId="0" borderId="2" xfId="0" applyFont="1" applyBorder="1" applyAlignment="1">
      <alignment horizontal="left" vertical="top" wrapText="1"/>
    </xf>
    <xf numFmtId="165" fontId="12" fillId="2" borderId="2" xfId="1" applyNumberFormat="1" applyFont="1" applyFill="1" applyBorder="1" applyAlignment="1">
      <alignment horizontal="center"/>
    </xf>
    <xf numFmtId="168" fontId="4" fillId="2" borderId="2" xfId="1" applyNumberFormat="1" applyFont="1" applyFill="1" applyBorder="1" applyAlignment="1">
      <alignment horizontal="center" wrapText="1"/>
    </xf>
    <xf numFmtId="168" fontId="14" fillId="2" borderId="2" xfId="1" applyNumberFormat="1" applyFont="1" applyFill="1" applyBorder="1" applyAlignment="1">
      <alignment horizontal="center"/>
    </xf>
    <xf numFmtId="2" fontId="4" fillId="2" borderId="2" xfId="1" applyNumberFormat="1" applyFont="1" applyFill="1" applyBorder="1" applyAlignment="1">
      <alignment horizontal="center" wrapText="1"/>
    </xf>
    <xf numFmtId="165" fontId="3" fillId="0" borderId="2" xfId="0" applyNumberFormat="1" applyFont="1" applyBorder="1" applyAlignment="1">
      <alignment horizontal="center" vertical="top" wrapText="1"/>
    </xf>
    <xf numFmtId="0" fontId="3" fillId="0" borderId="0" xfId="0" applyFont="1" applyAlignment="1">
      <alignment horizontal="center" wrapText="1"/>
    </xf>
    <xf numFmtId="0" fontId="3" fillId="0" borderId="0" xfId="0" applyFont="1" applyAlignment="1">
      <alignment horizontal="center"/>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0" fillId="2" borderId="0" xfId="0" applyFill="1" applyAlignment="1">
      <alignment horizontal="center"/>
    </xf>
    <xf numFmtId="0" fontId="4" fillId="2" borderId="0" xfId="0" applyFont="1" applyFill="1"/>
    <xf numFmtId="0" fontId="4" fillId="2" borderId="0" xfId="0" applyFont="1" applyFill="1" applyAlignment="1">
      <alignment horizontal="right" wrapText="1"/>
    </xf>
    <xf numFmtId="0" fontId="3" fillId="2" borderId="0" xfId="0" applyFont="1" applyFill="1" applyAlignment="1">
      <alignment horizontal="center"/>
    </xf>
    <xf numFmtId="0" fontId="2" fillId="2" borderId="0" xfId="0" applyFont="1" applyFill="1" applyAlignment="1">
      <alignment wrapText="1"/>
    </xf>
    <xf numFmtId="165" fontId="4" fillId="2" borderId="0" xfId="0" applyNumberFormat="1" applyFont="1" applyFill="1" applyBorder="1" applyAlignment="1">
      <alignment horizontal="center" wrapText="1"/>
    </xf>
    <xf numFmtId="0" fontId="4" fillId="2" borderId="2" xfId="0" applyFont="1" applyFill="1" applyBorder="1"/>
    <xf numFmtId="0" fontId="15" fillId="2" borderId="2" xfId="0" applyFont="1" applyFill="1" applyBorder="1" applyAlignment="1">
      <alignment wrapText="1"/>
    </xf>
    <xf numFmtId="165" fontId="16" fillId="2" borderId="2" xfId="0" applyNumberFormat="1" applyFont="1" applyFill="1" applyBorder="1" applyAlignment="1">
      <alignment horizontal="center" vertical="top" wrapText="1"/>
    </xf>
    <xf numFmtId="165" fontId="17" fillId="2" borderId="2" xfId="0" applyNumberFormat="1" applyFont="1" applyFill="1" applyBorder="1" applyAlignment="1">
      <alignment horizontal="center" vertical="top" wrapText="1"/>
    </xf>
    <xf numFmtId="0" fontId="18" fillId="2" borderId="2" xfId="0" applyFont="1" applyFill="1" applyBorder="1" applyAlignment="1">
      <alignment horizontal="center" vertical="top" wrapText="1"/>
    </xf>
    <xf numFmtId="0" fontId="0" fillId="2" borderId="2" xfId="0" applyFill="1" applyBorder="1" applyAlignment="1">
      <alignment horizontal="center" vertical="top" wrapText="1"/>
    </xf>
    <xf numFmtId="0" fontId="2" fillId="2" borderId="2" xfId="0" applyFont="1" applyFill="1" applyBorder="1" applyAlignment="1">
      <alignment wrapText="1"/>
    </xf>
    <xf numFmtId="171" fontId="3" fillId="2" borderId="2" xfId="0" applyNumberFormat="1" applyFont="1" applyFill="1" applyBorder="1" applyAlignment="1">
      <alignment horizontal="center" vertical="top" wrapText="1"/>
    </xf>
    <xf numFmtId="171" fontId="3" fillId="2" borderId="2" xfId="0" applyNumberFormat="1" applyFont="1" applyFill="1" applyBorder="1" applyAlignment="1">
      <alignment horizontal="center" vertical="top"/>
    </xf>
    <xf numFmtId="0" fontId="3" fillId="2" borderId="2" xfId="0" applyFont="1" applyFill="1" applyBorder="1" applyAlignment="1">
      <alignment wrapText="1"/>
    </xf>
    <xf numFmtId="0" fontId="6" fillId="2" borderId="2" xfId="0" applyFont="1" applyFill="1" applyBorder="1" applyAlignment="1">
      <alignment wrapText="1"/>
    </xf>
    <xf numFmtId="0" fontId="6" fillId="2" borderId="2" xfId="0" applyFont="1" applyFill="1" applyBorder="1" applyAlignment="1">
      <alignment horizontal="center" wrapText="1"/>
    </xf>
    <xf numFmtId="49" fontId="4" fillId="2" borderId="2" xfId="0" applyNumberFormat="1" applyFont="1" applyFill="1" applyBorder="1" applyAlignment="1">
      <alignment horizontal="center"/>
    </xf>
    <xf numFmtId="49" fontId="4" fillId="2" borderId="2" xfId="0" applyNumberFormat="1" applyFont="1" applyFill="1" applyBorder="1"/>
    <xf numFmtId="171" fontId="19" fillId="2" borderId="2" xfId="1" applyNumberFormat="1" applyFont="1" applyFill="1" applyBorder="1" applyAlignment="1">
      <alignment horizontal="center"/>
    </xf>
    <xf numFmtId="171" fontId="4" fillId="2" borderId="2" xfId="0" applyNumberFormat="1" applyFont="1" applyFill="1" applyBorder="1" applyAlignment="1">
      <alignment horizontal="center" wrapText="1"/>
    </xf>
    <xf numFmtId="167" fontId="4" fillId="2" borderId="2" xfId="2" applyNumberFormat="1" applyFont="1" applyFill="1" applyBorder="1" applyAlignment="1">
      <alignment horizontal="center"/>
    </xf>
    <xf numFmtId="167" fontId="4" fillId="2" borderId="2" xfId="2" applyNumberFormat="1" applyFont="1" applyFill="1" applyBorder="1" applyAlignment="1"/>
    <xf numFmtId="168" fontId="2" fillId="2" borderId="2" xfId="0" applyNumberFormat="1" applyFont="1" applyFill="1" applyBorder="1" applyAlignment="1">
      <alignment wrapText="1"/>
    </xf>
    <xf numFmtId="0" fontId="20" fillId="0" borderId="0" xfId="0" applyFont="1" applyAlignment="1"/>
    <xf numFmtId="165" fontId="4" fillId="2" borderId="2" xfId="0" applyNumberFormat="1" applyFont="1" applyFill="1" applyBorder="1" applyAlignment="1">
      <alignment horizontal="center" wrapText="1"/>
    </xf>
    <xf numFmtId="2" fontId="4" fillId="0" borderId="0" xfId="1" applyNumberFormat="1" applyFont="1" applyFill="1" applyBorder="1" applyAlignment="1">
      <alignment horizontal="center"/>
    </xf>
    <xf numFmtId="165" fontId="4" fillId="0" borderId="0" xfId="1" applyNumberFormat="1" applyFont="1" applyBorder="1" applyAlignment="1">
      <alignment horizontal="center"/>
    </xf>
    <xf numFmtId="165" fontId="19" fillId="2" borderId="2" xfId="1" applyNumberFormat="1" applyFont="1" applyFill="1" applyBorder="1" applyAlignment="1">
      <alignment horizontal="center"/>
    </xf>
    <xf numFmtId="0" fontId="8" fillId="2" borderId="2" xfId="0" applyFont="1" applyFill="1" applyBorder="1" applyAlignment="1">
      <alignment horizontal="justify" vertical="top" wrapText="1"/>
    </xf>
    <xf numFmtId="167" fontId="2" fillId="2" borderId="2" xfId="2" applyNumberFormat="1" applyFont="1" applyFill="1" applyBorder="1" applyAlignment="1">
      <alignment wrapText="1"/>
    </xf>
    <xf numFmtId="169" fontId="19" fillId="2" borderId="2" xfId="1" applyNumberFormat="1" applyFont="1" applyFill="1" applyBorder="1" applyAlignment="1">
      <alignment horizontal="center"/>
    </xf>
    <xf numFmtId="14" fontId="4" fillId="2" borderId="2" xfId="0" applyNumberFormat="1" applyFont="1" applyFill="1" applyBorder="1" applyAlignment="1">
      <alignment horizontal="center"/>
    </xf>
    <xf numFmtId="171" fontId="7" fillId="2" borderId="2" xfId="0" applyNumberFormat="1" applyFont="1" applyFill="1" applyBorder="1" applyAlignment="1">
      <alignment horizontal="center"/>
    </xf>
    <xf numFmtId="0" fontId="14" fillId="0" borderId="0" xfId="0" applyFont="1"/>
    <xf numFmtId="171" fontId="19" fillId="4" borderId="2" xfId="1" applyNumberFormat="1" applyFont="1" applyFill="1" applyBorder="1" applyAlignment="1">
      <alignment horizontal="center"/>
    </xf>
    <xf numFmtId="172" fontId="7" fillId="2" borderId="7" xfId="0" applyNumberFormat="1" applyFont="1" applyFill="1" applyBorder="1" applyAlignment="1">
      <alignment horizontal="center"/>
    </xf>
    <xf numFmtId="3" fontId="4" fillId="2" borderId="2" xfId="1" applyNumberFormat="1" applyFont="1" applyFill="1" applyBorder="1" applyAlignment="1">
      <alignment horizontal="center"/>
    </xf>
    <xf numFmtId="172" fontId="7" fillId="2" borderId="2" xfId="0" applyNumberFormat="1" applyFont="1" applyFill="1" applyBorder="1" applyAlignment="1">
      <alignment horizontal="center"/>
    </xf>
    <xf numFmtId="172" fontId="4" fillId="2" borderId="2" xfId="1" applyNumberFormat="1" applyFont="1" applyFill="1" applyBorder="1" applyAlignment="1">
      <alignment horizontal="center"/>
    </xf>
    <xf numFmtId="173" fontId="4" fillId="0" borderId="0" xfId="0" applyNumberFormat="1" applyFont="1"/>
    <xf numFmtId="0" fontId="7" fillId="2" borderId="2" xfId="0" applyFont="1" applyFill="1" applyBorder="1" applyAlignment="1">
      <alignment horizontal="justify" vertical="center" wrapText="1"/>
    </xf>
    <xf numFmtId="168" fontId="7" fillId="2" borderId="2" xfId="0" applyNumberFormat="1" applyFont="1" applyFill="1" applyBorder="1" applyAlignment="1">
      <alignment horizontal="center"/>
    </xf>
    <xf numFmtId="165" fontId="4" fillId="2" borderId="2" xfId="0" applyNumberFormat="1" applyFont="1" applyFill="1" applyBorder="1"/>
    <xf numFmtId="0" fontId="9" fillId="2" borderId="2" xfId="0" applyFont="1" applyFill="1" applyBorder="1" applyAlignment="1">
      <alignment horizontal="center" vertical="top" wrapText="1"/>
    </xf>
    <xf numFmtId="1" fontId="19" fillId="2" borderId="2" xfId="1" applyNumberFormat="1" applyFont="1" applyFill="1" applyBorder="1" applyAlignment="1">
      <alignment horizontal="center"/>
    </xf>
    <xf numFmtId="1" fontId="4" fillId="2" borderId="2" xfId="1" applyNumberFormat="1" applyFont="1" applyFill="1" applyBorder="1" applyAlignment="1">
      <alignment horizontal="center" wrapText="1"/>
    </xf>
    <xf numFmtId="0" fontId="7" fillId="2" borderId="2" xfId="0" applyFont="1" applyFill="1" applyBorder="1" applyAlignment="1">
      <alignment horizontal="left" vertical="top" wrapText="1"/>
    </xf>
    <xf numFmtId="0" fontId="7" fillId="2" borderId="2" xfId="0" applyFont="1" applyFill="1" applyBorder="1" applyAlignment="1">
      <alignment horizontal="left" vertical="top"/>
    </xf>
    <xf numFmtId="0" fontId="21" fillId="2" borderId="2" xfId="0" applyFont="1" applyFill="1" applyBorder="1" applyAlignment="1">
      <alignment horizontal="center"/>
    </xf>
    <xf numFmtId="0" fontId="7" fillId="2" borderId="2" xfId="0" applyFont="1" applyFill="1" applyBorder="1" applyAlignment="1">
      <alignment horizontal="center"/>
    </xf>
    <xf numFmtId="0" fontId="7" fillId="2" borderId="2" xfId="0" applyFont="1" applyFill="1" applyBorder="1" applyAlignment="1">
      <alignment horizontal="center" wrapText="1"/>
    </xf>
    <xf numFmtId="165" fontId="6" fillId="2" borderId="2" xfId="0" applyNumberFormat="1" applyFont="1" applyFill="1" applyBorder="1" applyAlignment="1">
      <alignment horizontal="center" wrapText="1"/>
    </xf>
    <xf numFmtId="0" fontId="7" fillId="5" borderId="2" xfId="0" applyFont="1" applyFill="1" applyBorder="1" applyAlignment="1">
      <alignment horizontal="center"/>
    </xf>
    <xf numFmtId="0" fontId="22" fillId="2" borderId="2" xfId="0" applyFont="1" applyFill="1" applyBorder="1" applyAlignment="1">
      <alignment horizontal="left" vertical="top" wrapText="1"/>
    </xf>
    <xf numFmtId="49" fontId="4" fillId="2" borderId="2" xfId="1" applyNumberFormat="1" applyFont="1" applyFill="1" applyBorder="1" applyAlignment="1">
      <alignment horizontal="center"/>
    </xf>
    <xf numFmtId="169" fontId="4" fillId="2" borderId="2" xfId="1" applyNumberFormat="1" applyFont="1" applyFill="1" applyBorder="1" applyAlignment="1">
      <alignment horizontal="left"/>
    </xf>
    <xf numFmtId="167" fontId="14" fillId="0" borderId="0" xfId="2" applyNumberFormat="1" applyFont="1" applyAlignment="1"/>
    <xf numFmtId="0" fontId="4" fillId="2" borderId="0" xfId="0" applyFont="1" applyFill="1" applyBorder="1" applyAlignment="1"/>
    <xf numFmtId="0" fontId="6" fillId="2" borderId="0" xfId="0" applyFont="1" applyFill="1" applyBorder="1" applyAlignment="1"/>
    <xf numFmtId="0" fontId="6" fillId="2" borderId="0" xfId="0" applyFont="1" applyFill="1" applyAlignment="1"/>
    <xf numFmtId="164" fontId="4" fillId="2" borderId="0" xfId="0" applyNumberFormat="1" applyFont="1" applyFill="1" applyBorder="1" applyAlignment="1"/>
    <xf numFmtId="165" fontId="4" fillId="2" borderId="0" xfId="0" applyNumberFormat="1" applyFont="1" applyFill="1" applyBorder="1"/>
    <xf numFmtId="167" fontId="2" fillId="2" borderId="0" xfId="2" applyNumberFormat="1" applyFont="1" applyFill="1" applyAlignment="1">
      <alignment wrapText="1"/>
    </xf>
    <xf numFmtId="0" fontId="4" fillId="2" borderId="0" xfId="0" applyFont="1" applyFill="1" applyBorder="1"/>
    <xf numFmtId="0" fontId="10" fillId="2" borderId="0" xfId="0" applyFont="1" applyFill="1" applyBorder="1" applyAlignment="1">
      <alignment wrapText="1"/>
    </xf>
    <xf numFmtId="0" fontId="11" fillId="2" borderId="0" xfId="0" applyFont="1" applyFill="1"/>
    <xf numFmtId="0" fontId="10" fillId="2" borderId="1" xfId="0" applyFont="1" applyFill="1" applyBorder="1" applyAlignment="1">
      <alignment wrapText="1"/>
    </xf>
    <xf numFmtId="0" fontId="10" fillId="2" borderId="3" xfId="0" applyFont="1" applyFill="1" applyBorder="1" applyAlignment="1">
      <alignment wrapText="1"/>
    </xf>
    <xf numFmtId="1" fontId="4" fillId="2" borderId="0" xfId="0" applyNumberFormat="1" applyFont="1" applyFill="1"/>
    <xf numFmtId="169" fontId="13" fillId="2" borderId="2" xfId="1" applyNumberFormat="1" applyFont="1" applyFill="1" applyBorder="1" applyAlignment="1">
      <alignment horizontal="center"/>
    </xf>
    <xf numFmtId="171" fontId="13" fillId="2" borderId="2" xfId="1" applyNumberFormat="1" applyFont="1" applyFill="1" applyBorder="1" applyAlignment="1">
      <alignment horizontal="center"/>
    </xf>
    <xf numFmtId="169" fontId="4" fillId="6" borderId="2" xfId="1" applyNumberFormat="1" applyFont="1" applyFill="1" applyBorder="1" applyAlignment="1">
      <alignment horizontal="center"/>
    </xf>
    <xf numFmtId="171" fontId="4" fillId="6" borderId="2" xfId="1" applyNumberFormat="1" applyFont="1" applyFill="1" applyBorder="1" applyAlignment="1">
      <alignment horizontal="center"/>
    </xf>
    <xf numFmtId="171" fontId="7" fillId="6" borderId="2" xfId="0" applyNumberFormat="1" applyFont="1" applyFill="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165" fontId="4" fillId="2" borderId="0" xfId="0" applyNumberFormat="1" applyFont="1" applyFill="1" applyBorder="1" applyAlignment="1">
      <alignment horizontal="center"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165" fontId="14" fillId="2" borderId="0" xfId="0" applyNumberFormat="1" applyFont="1" applyFill="1" applyBorder="1" applyAlignment="1">
      <alignment horizontal="left"/>
    </xf>
    <xf numFmtId="49" fontId="7" fillId="2" borderId="2" xfId="0" applyNumberFormat="1" applyFont="1" applyFill="1" applyBorder="1" applyAlignment="1">
      <alignment horizontal="left" vertical="top" wrapText="1"/>
    </xf>
    <xf numFmtId="0" fontId="8" fillId="2" borderId="2" xfId="0" applyFont="1" applyFill="1" applyBorder="1" applyAlignment="1">
      <alignment horizontal="left" vertical="top" wrapText="1"/>
    </xf>
    <xf numFmtId="1" fontId="7" fillId="2" borderId="2" xfId="0" applyNumberFormat="1" applyFont="1" applyFill="1" applyBorder="1" applyAlignment="1">
      <alignment horizontal="center"/>
    </xf>
    <xf numFmtId="167" fontId="7" fillId="3" borderId="2" xfId="2" applyNumberFormat="1" applyFont="1" applyFill="1" applyBorder="1" applyAlignment="1">
      <alignment horizontal="center"/>
    </xf>
    <xf numFmtId="167" fontId="4" fillId="2" borderId="2" xfId="2" applyNumberFormat="1" applyFont="1" applyFill="1" applyBorder="1" applyAlignment="1">
      <alignment horizontal="center" wrapText="1"/>
    </xf>
    <xf numFmtId="3" fontId="4" fillId="2" borderId="2" xfId="1" applyNumberFormat="1" applyFont="1" applyFill="1" applyBorder="1" applyAlignment="1">
      <alignment horizontal="center" wrapText="1"/>
    </xf>
    <xf numFmtId="165" fontId="7" fillId="2" borderId="7" xfId="0" applyNumberFormat="1" applyFont="1" applyFill="1" applyBorder="1" applyAlignment="1">
      <alignment horizontal="center"/>
    </xf>
    <xf numFmtId="165" fontId="7" fillId="2" borderId="2" xfId="0" applyNumberFormat="1" applyFont="1" applyFill="1" applyBorder="1" applyAlignment="1">
      <alignment horizontal="center"/>
    </xf>
    <xf numFmtId="0" fontId="7" fillId="3" borderId="2" xfId="0" applyFont="1" applyFill="1" applyBorder="1" applyAlignment="1">
      <alignment horizontal="center"/>
    </xf>
    <xf numFmtId="0" fontId="25" fillId="2" borderId="2" xfId="0" applyFont="1" applyFill="1" applyBorder="1" applyAlignment="1">
      <alignment wrapText="1"/>
    </xf>
    <xf numFmtId="3" fontId="7" fillId="2" borderId="2" xfId="0" applyNumberFormat="1" applyFont="1" applyFill="1" applyBorder="1" applyAlignment="1">
      <alignment horizontal="center"/>
    </xf>
    <xf numFmtId="168" fontId="7" fillId="5" borderId="2" xfId="0" applyNumberFormat="1" applyFont="1" applyFill="1" applyBorder="1" applyAlignment="1">
      <alignment horizontal="center"/>
    </xf>
    <xf numFmtId="168" fontId="7" fillId="2" borderId="2" xfId="1" applyNumberFormat="1" applyFont="1" applyFill="1" applyBorder="1" applyAlignment="1">
      <alignment horizontal="center" wrapText="1"/>
    </xf>
    <xf numFmtId="168" fontId="7" fillId="2" borderId="2" xfId="1" applyNumberFormat="1" applyFont="1" applyFill="1" applyBorder="1" applyAlignment="1">
      <alignment horizontal="center"/>
    </xf>
    <xf numFmtId="0" fontId="2" fillId="2" borderId="0" xfId="0" applyFont="1" applyFill="1" applyAlignment="1">
      <alignment horizontal="right" wrapText="1"/>
    </xf>
    <xf numFmtId="168" fontId="2" fillId="0" borderId="2" xfId="0" applyNumberFormat="1" applyFont="1" applyBorder="1" applyAlignment="1">
      <alignment wrapText="1"/>
    </xf>
    <xf numFmtId="1" fontId="7" fillId="3" borderId="2" xfId="0" applyNumberFormat="1" applyFont="1" applyFill="1" applyBorder="1" applyAlignment="1">
      <alignment horizontal="center"/>
    </xf>
    <xf numFmtId="169" fontId="4" fillId="7" borderId="2" xfId="1" applyNumberFormat="1" applyFont="1" applyFill="1" applyBorder="1" applyAlignment="1">
      <alignment horizontal="center"/>
    </xf>
    <xf numFmtId="174" fontId="6" fillId="2" borderId="2" xfId="0" applyNumberFormat="1" applyFont="1" applyFill="1" applyBorder="1" applyAlignment="1">
      <alignment wrapText="1"/>
    </xf>
    <xf numFmtId="0" fontId="4" fillId="2" borderId="2" xfId="0" applyFont="1" applyFill="1" applyBorder="1" applyAlignment="1">
      <alignment horizontal="center" vertical="top"/>
    </xf>
    <xf numFmtId="14" fontId="4" fillId="2" borderId="2" xfId="0" applyNumberFormat="1" applyFont="1" applyFill="1" applyBorder="1" applyAlignment="1">
      <alignment horizontal="center" vertical="top"/>
    </xf>
    <xf numFmtId="0" fontId="4" fillId="2" borderId="5" xfId="0" applyFont="1" applyFill="1" applyBorder="1" applyAlignment="1">
      <alignment horizontal="center" vertical="top"/>
    </xf>
    <xf numFmtId="0" fontId="4" fillId="2" borderId="6" xfId="0" applyFont="1" applyFill="1" applyBorder="1" applyAlignment="1">
      <alignment horizontal="center" vertical="top"/>
    </xf>
    <xf numFmtId="0" fontId="3" fillId="2" borderId="2" xfId="0" applyFont="1" applyFill="1" applyBorder="1" applyAlignment="1">
      <alignment horizontal="center" vertical="top"/>
    </xf>
    <xf numFmtId="0" fontId="4" fillId="2" borderId="0" xfId="0" applyFont="1" applyFill="1" applyBorder="1" applyAlignment="1">
      <alignment horizontal="left"/>
    </xf>
    <xf numFmtId="168" fontId="7" fillId="0" borderId="2" xfId="0" applyNumberFormat="1" applyFont="1" applyFill="1" applyBorder="1" applyAlignment="1">
      <alignment horizontal="center"/>
    </xf>
    <xf numFmtId="170" fontId="4" fillId="2" borderId="2" xfId="1" applyNumberFormat="1" applyFont="1" applyFill="1" applyBorder="1" applyAlignment="1">
      <alignment horizontal="left"/>
    </xf>
    <xf numFmtId="170" fontId="7" fillId="2" borderId="2" xfId="0" applyNumberFormat="1" applyFont="1" applyFill="1" applyBorder="1" applyAlignment="1">
      <alignment horizontal="left"/>
    </xf>
    <xf numFmtId="0" fontId="4" fillId="2" borderId="0" xfId="0" applyFont="1" applyFill="1" applyBorder="1" applyAlignment="1">
      <alignment horizontal="left" wrapText="1"/>
    </xf>
    <xf numFmtId="0" fontId="6" fillId="2" borderId="0" xfId="0" applyFont="1" applyFill="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165" fontId="4" fillId="2" borderId="1" xfId="0" applyNumberFormat="1" applyFont="1" applyFill="1" applyBorder="1" applyAlignment="1">
      <alignment horizontal="center" wrapText="1"/>
    </xf>
    <xf numFmtId="165" fontId="4" fillId="2" borderId="0" xfId="0" applyNumberFormat="1" applyFont="1" applyFill="1" applyBorder="1" applyAlignment="1">
      <alignment horizontal="center"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0" borderId="2" xfId="0" applyFont="1" applyBorder="1" applyAlignment="1">
      <alignment horizontal="center" vertical="top" wrapText="1"/>
    </xf>
    <xf numFmtId="0" fontId="8" fillId="2" borderId="8"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9" xfId="0" applyFont="1" applyFill="1" applyBorder="1" applyAlignment="1">
      <alignment horizontal="center" vertical="top" wrapText="1"/>
    </xf>
    <xf numFmtId="0" fontId="2" fillId="2" borderId="4" xfId="0" applyFont="1" applyFill="1" applyBorder="1" applyAlignment="1">
      <alignment wrapText="1"/>
    </xf>
    <xf numFmtId="0" fontId="0" fillId="0" borderId="5" xfId="0" applyBorder="1" applyAlignment="1">
      <alignment wrapText="1"/>
    </xf>
    <xf numFmtId="0" fontId="0" fillId="0" borderId="6" xfId="0" applyBorder="1" applyAlignment="1">
      <alignment wrapText="1"/>
    </xf>
    <xf numFmtId="165" fontId="26" fillId="2" borderId="0" xfId="0" applyNumberFormat="1" applyFont="1" applyFill="1" applyBorder="1" applyAlignment="1">
      <alignment horizontal="center"/>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U64"/>
  <sheetViews>
    <sheetView view="pageBreakPreview" zoomScaleNormal="100" zoomScaleSheetLayoutView="100" workbookViewId="0">
      <pane xSplit="3" ySplit="9" topLeftCell="D48" activePane="bottomRight" state="frozen"/>
      <selection pane="topRight" activeCell="D1" sqref="D1"/>
      <selection pane="bottomLeft" activeCell="A8" sqref="A8"/>
      <selection pane="bottomRight" activeCell="V45" sqref="V45"/>
    </sheetView>
  </sheetViews>
  <sheetFormatPr defaultRowHeight="15" outlineLevelRow="1" outlineLevelCol="1"/>
  <cols>
    <col min="1" max="1" width="5.85546875" style="14" customWidth="1"/>
    <col min="2" max="2" width="38.7109375" style="4" customWidth="1"/>
    <col min="3" max="3" width="9" style="14" customWidth="1"/>
    <col min="4" max="4" width="11.42578125" style="20" hidden="1" customWidth="1" outlineLevel="1"/>
    <col min="5" max="5" width="11.7109375" style="20" hidden="1" customWidth="1" outlineLevel="1"/>
    <col min="6" max="6" width="10.5703125" style="44" hidden="1" customWidth="1" outlineLevel="1"/>
    <col min="7" max="7" width="10.5703125" style="44" customWidth="1" collapsed="1"/>
    <col min="8" max="8" width="11.7109375" style="44" hidden="1" customWidth="1" outlineLevel="1"/>
    <col min="9" max="9" width="11.7109375" style="44" hidden="1" customWidth="1" outlineLevel="1" collapsed="1"/>
    <col min="10" max="10" width="10.42578125" style="44" hidden="1" customWidth="1" outlineLevel="1"/>
    <col min="11" max="11" width="10.42578125" style="44" hidden="1" customWidth="1" outlineLevel="1" collapsed="1"/>
    <col min="12" max="12" width="12.140625" style="44" hidden="1" customWidth="1" outlineLevel="1"/>
    <col min="13" max="13" width="12.42578125" style="44" hidden="1" customWidth="1" outlineLevel="1"/>
    <col min="14" max="14" width="12.42578125" style="44" customWidth="1" collapsed="1"/>
    <col min="15" max="15" width="11.85546875" style="44" hidden="1" customWidth="1" outlineLevel="1"/>
    <col min="16" max="16" width="13" style="44" hidden="1" customWidth="1" outlineLevel="1"/>
    <col min="17" max="17" width="12.42578125" style="44" hidden="1" customWidth="1" outlineLevel="1"/>
    <col min="18" max="18" width="13.42578125" style="44" hidden="1" customWidth="1" outlineLevel="1"/>
    <col min="19" max="21" width="12.42578125" style="44" hidden="1" customWidth="1" outlineLevel="1"/>
    <col min="22" max="22" width="12.42578125" style="44" customWidth="1" collapsed="1"/>
    <col min="23" max="26" width="10.28515625" style="44" customWidth="1"/>
    <col min="27" max="27" width="9.85546875" style="78" hidden="1" customWidth="1" outlineLevel="1"/>
    <col min="28" max="29" width="9.140625" style="78" hidden="1" customWidth="1" outlineLevel="1"/>
    <col min="30" max="33" width="8.140625" style="78" hidden="1" customWidth="1" outlineLevel="1"/>
    <col min="34" max="34" width="47.85546875" style="81" customWidth="1" collapsed="1"/>
    <col min="35" max="36" width="9.140625" style="4" customWidth="1"/>
    <col min="37" max="37" width="9.140625" style="4"/>
    <col min="38" max="16384" width="9.140625" style="1"/>
  </cols>
  <sheetData>
    <row r="1" spans="1:73" ht="33" customHeight="1" outlineLevel="1">
      <c r="A1" s="189" t="s">
        <v>160</v>
      </c>
      <c r="B1" s="190"/>
      <c r="C1" s="190"/>
      <c r="D1" s="190"/>
      <c r="E1" s="190"/>
      <c r="F1" s="190"/>
      <c r="G1" s="190"/>
      <c r="H1" s="190"/>
      <c r="I1" s="190"/>
      <c r="J1" s="190"/>
      <c r="K1" s="190"/>
      <c r="L1" s="190"/>
      <c r="M1" s="190"/>
      <c r="N1" s="190"/>
      <c r="O1" s="190"/>
      <c r="P1" s="190"/>
      <c r="Q1" s="190"/>
      <c r="R1" s="190"/>
      <c r="S1" s="190"/>
      <c r="T1" s="190"/>
      <c r="U1" s="190"/>
      <c r="V1" s="190"/>
      <c r="W1" s="190"/>
      <c r="X1" s="191"/>
      <c r="Y1" s="191"/>
      <c r="Z1" s="77"/>
      <c r="AH1" s="79" t="s">
        <v>161</v>
      </c>
    </row>
    <row r="2" spans="1:73">
      <c r="A2" s="73"/>
      <c r="B2" s="74"/>
      <c r="C2" s="80"/>
      <c r="D2" s="74"/>
      <c r="E2" s="74"/>
      <c r="F2" s="74"/>
      <c r="G2" s="80"/>
      <c r="H2" s="80"/>
      <c r="I2" s="80"/>
      <c r="J2" s="80"/>
      <c r="K2" s="80"/>
      <c r="L2" s="80"/>
      <c r="M2" s="80"/>
      <c r="N2" s="80"/>
      <c r="O2" s="80"/>
      <c r="P2" s="80"/>
      <c r="Q2" s="80"/>
      <c r="R2" s="80"/>
      <c r="S2" s="80"/>
      <c r="T2" s="80"/>
      <c r="U2" s="80"/>
      <c r="V2" s="80"/>
      <c r="W2" s="80"/>
    </row>
    <row r="3" spans="1:73" ht="38.25" hidden="1" customHeight="1" outlineLevel="1">
      <c r="A3" s="189" t="s">
        <v>162</v>
      </c>
      <c r="B3" s="192"/>
      <c r="C3" s="192"/>
      <c r="D3" s="192"/>
      <c r="E3" s="192"/>
      <c r="F3" s="192"/>
      <c r="G3" s="192"/>
      <c r="H3" s="192"/>
      <c r="I3" s="192"/>
      <c r="J3" s="192"/>
      <c r="K3" s="192"/>
      <c r="L3" s="192"/>
      <c r="M3" s="192"/>
      <c r="N3" s="192"/>
      <c r="O3" s="192"/>
      <c r="P3" s="192"/>
      <c r="Q3" s="192"/>
      <c r="R3" s="192"/>
      <c r="S3" s="192"/>
      <c r="T3" s="192"/>
      <c r="U3" s="192"/>
      <c r="V3" s="35"/>
      <c r="W3" s="77"/>
      <c r="X3" s="77"/>
      <c r="Y3" s="77"/>
      <c r="Z3" s="77"/>
    </row>
    <row r="4" spans="1:73" collapsed="1">
      <c r="P4" s="193" t="s">
        <v>0</v>
      </c>
      <c r="Q4" s="194"/>
      <c r="R4" s="194"/>
      <c r="S4" s="194"/>
      <c r="T4" s="194"/>
      <c r="U4" s="194"/>
      <c r="V4" s="194"/>
      <c r="W4" s="194"/>
      <c r="X4" s="82"/>
      <c r="Y4" s="82"/>
      <c r="Z4" s="82"/>
    </row>
    <row r="5" spans="1:73" ht="35.25" customHeight="1">
      <c r="A5" s="195" t="s">
        <v>1</v>
      </c>
      <c r="B5" s="197" t="s">
        <v>2</v>
      </c>
      <c r="C5" s="195" t="s">
        <v>3</v>
      </c>
      <c r="D5" s="5" t="s">
        <v>4</v>
      </c>
      <c r="E5" s="5" t="s">
        <v>4</v>
      </c>
      <c r="F5" s="45" t="s">
        <v>4</v>
      </c>
      <c r="G5" s="45" t="s">
        <v>4</v>
      </c>
      <c r="H5" s="45" t="s">
        <v>4</v>
      </c>
      <c r="I5" s="45" t="s">
        <v>4</v>
      </c>
      <c r="J5" s="47" t="s">
        <v>5</v>
      </c>
      <c r="K5" s="46" t="s">
        <v>163</v>
      </c>
      <c r="L5" s="46" t="s">
        <v>163</v>
      </c>
      <c r="M5" s="46" t="s">
        <v>163</v>
      </c>
      <c r="N5" s="46" t="s">
        <v>163</v>
      </c>
      <c r="O5" s="46" t="s">
        <v>164</v>
      </c>
      <c r="P5" s="47" t="s">
        <v>149</v>
      </c>
      <c r="Q5" s="46" t="s">
        <v>165</v>
      </c>
      <c r="R5" s="46" t="s">
        <v>4</v>
      </c>
      <c r="S5" s="46" t="s">
        <v>158</v>
      </c>
      <c r="T5" s="46" t="s">
        <v>163</v>
      </c>
      <c r="U5" s="46" t="s">
        <v>158</v>
      </c>
      <c r="V5" s="46" t="s">
        <v>4</v>
      </c>
      <c r="W5" s="46" t="s">
        <v>158</v>
      </c>
      <c r="X5" s="198" t="s">
        <v>101</v>
      </c>
      <c r="Y5" s="199"/>
      <c r="Z5" s="200"/>
      <c r="AA5" s="83" t="s">
        <v>112</v>
      </c>
      <c r="AB5" s="83"/>
      <c r="AC5" s="83"/>
      <c r="AD5" s="83"/>
      <c r="AE5" s="83"/>
      <c r="AF5" s="83"/>
      <c r="AG5" s="83"/>
      <c r="AH5" s="84" t="s">
        <v>111</v>
      </c>
    </row>
    <row r="6" spans="1:73" ht="28.5" hidden="1" outlineLevel="1">
      <c r="A6" s="196"/>
      <c r="B6" s="197"/>
      <c r="C6" s="195"/>
      <c r="D6" s="5"/>
      <c r="E6" s="5"/>
      <c r="F6" s="45"/>
      <c r="G6" s="85" t="s">
        <v>166</v>
      </c>
      <c r="H6" s="45"/>
      <c r="I6" s="45"/>
      <c r="J6" s="47"/>
      <c r="K6" s="86" t="s">
        <v>167</v>
      </c>
      <c r="L6" s="86" t="s">
        <v>168</v>
      </c>
      <c r="M6" s="86" t="s">
        <v>169</v>
      </c>
      <c r="N6" s="85" t="s">
        <v>166</v>
      </c>
      <c r="O6" s="86"/>
      <c r="P6" s="87"/>
      <c r="Q6" s="86"/>
      <c r="R6" s="86" t="s">
        <v>170</v>
      </c>
      <c r="S6" s="86" t="s">
        <v>168</v>
      </c>
      <c r="T6" s="86" t="s">
        <v>169</v>
      </c>
      <c r="U6" s="86" t="s">
        <v>169</v>
      </c>
      <c r="V6" s="86"/>
      <c r="W6" s="46"/>
      <c r="X6" s="88"/>
      <c r="Y6" s="88"/>
      <c r="Z6" s="88"/>
      <c r="AA6" s="83"/>
      <c r="AB6" s="83"/>
      <c r="AC6" s="83"/>
      <c r="AD6" s="83"/>
      <c r="AE6" s="83"/>
      <c r="AF6" s="83"/>
      <c r="AG6" s="83"/>
      <c r="AH6" s="89"/>
    </row>
    <row r="7" spans="1:73" ht="30" customHeight="1" collapsed="1">
      <c r="A7" s="196"/>
      <c r="B7" s="197"/>
      <c r="C7" s="195"/>
      <c r="D7" s="72" t="s">
        <v>6</v>
      </c>
      <c r="E7" s="72" t="s">
        <v>7</v>
      </c>
      <c r="F7" s="46" t="s">
        <v>8</v>
      </c>
      <c r="G7" s="46" t="s">
        <v>8</v>
      </c>
      <c r="H7" s="46" t="s">
        <v>114</v>
      </c>
      <c r="I7" s="46" t="s">
        <v>135</v>
      </c>
      <c r="J7" s="45" t="s">
        <v>9</v>
      </c>
      <c r="K7" s="46" t="s">
        <v>9</v>
      </c>
      <c r="L7" s="46" t="s">
        <v>9</v>
      </c>
      <c r="M7" s="46" t="s">
        <v>9</v>
      </c>
      <c r="N7" s="46" t="s">
        <v>9</v>
      </c>
      <c r="O7" s="46" t="s">
        <v>148</v>
      </c>
      <c r="P7" s="45" t="s">
        <v>10</v>
      </c>
      <c r="Q7" s="46" t="s">
        <v>10</v>
      </c>
      <c r="R7" s="46" t="s">
        <v>148</v>
      </c>
      <c r="S7" s="46" t="s">
        <v>10</v>
      </c>
      <c r="T7" s="46" t="s">
        <v>171</v>
      </c>
      <c r="U7" s="46" t="s">
        <v>10</v>
      </c>
      <c r="V7" s="46" t="s">
        <v>10</v>
      </c>
      <c r="W7" s="45" t="s">
        <v>11</v>
      </c>
      <c r="X7" s="45" t="s">
        <v>100</v>
      </c>
      <c r="Y7" s="45" t="s">
        <v>144</v>
      </c>
      <c r="Z7" s="45" t="s">
        <v>172</v>
      </c>
      <c r="AA7" s="45"/>
      <c r="AB7" s="83"/>
      <c r="AC7" s="83"/>
      <c r="AD7" s="83"/>
      <c r="AE7" s="83"/>
      <c r="AF7" s="83"/>
      <c r="AG7" s="83"/>
      <c r="AH7" s="89"/>
      <c r="AI7" s="4">
        <v>2019</v>
      </c>
      <c r="AJ7" s="4">
        <v>2020</v>
      </c>
    </row>
    <row r="8" spans="1:73" ht="13.5" hidden="1" customHeight="1" outlineLevel="1">
      <c r="A8" s="76"/>
      <c r="B8" s="67" t="s">
        <v>150</v>
      </c>
      <c r="C8" s="75"/>
      <c r="D8" s="72"/>
      <c r="E8" s="72"/>
      <c r="F8" s="46"/>
      <c r="G8" s="46"/>
      <c r="H8" s="46"/>
      <c r="I8" s="46"/>
      <c r="J8" s="45"/>
      <c r="K8" s="46"/>
      <c r="L8" s="46"/>
      <c r="M8" s="46"/>
      <c r="N8" s="46"/>
      <c r="O8" s="46"/>
      <c r="P8" s="45"/>
      <c r="Q8" s="90">
        <v>1.1559999999999999</v>
      </c>
      <c r="R8" s="46"/>
      <c r="S8" s="90"/>
      <c r="T8" s="90"/>
      <c r="U8" s="90"/>
      <c r="V8" s="90"/>
      <c r="W8" s="91">
        <v>1.0640000000000001</v>
      </c>
      <c r="X8" s="91">
        <v>1.0609999999999999</v>
      </c>
      <c r="Y8" s="91">
        <v>1.052</v>
      </c>
      <c r="Z8" s="91"/>
      <c r="AA8" s="45"/>
      <c r="AB8" s="83"/>
      <c r="AC8" s="83"/>
      <c r="AD8" s="83"/>
      <c r="AE8" s="83"/>
      <c r="AF8" s="83"/>
      <c r="AG8" s="83"/>
      <c r="AH8" s="89"/>
    </row>
    <row r="9" spans="1:73" ht="22.5" customHeight="1" collapsed="1">
      <c r="A9" s="15" t="s">
        <v>12</v>
      </c>
      <c r="B9" s="92" t="s">
        <v>13</v>
      </c>
      <c r="C9" s="93"/>
      <c r="D9" s="63"/>
      <c r="E9" s="63"/>
      <c r="F9" s="63"/>
      <c r="G9" s="93"/>
      <c r="H9" s="93"/>
      <c r="I9" s="93"/>
      <c r="J9" s="93"/>
      <c r="K9" s="93"/>
      <c r="L9" s="93"/>
      <c r="M9" s="94"/>
      <c r="N9" s="94"/>
      <c r="O9" s="93"/>
      <c r="P9" s="93"/>
      <c r="Q9" s="93"/>
      <c r="R9" s="93"/>
      <c r="S9" s="93"/>
      <c r="T9" s="93"/>
      <c r="U9" s="93"/>
      <c r="V9" s="93"/>
      <c r="W9" s="93"/>
      <c r="X9" s="94"/>
      <c r="Y9" s="94"/>
      <c r="Z9" s="94"/>
      <c r="AA9" s="95" t="s">
        <v>14</v>
      </c>
      <c r="AB9" s="96" t="s">
        <v>15</v>
      </c>
      <c r="AC9" s="96" t="s">
        <v>16</v>
      </c>
      <c r="AD9" s="96" t="s">
        <v>109</v>
      </c>
      <c r="AE9" s="96" t="s">
        <v>145</v>
      </c>
      <c r="AF9" s="96" t="s">
        <v>146</v>
      </c>
      <c r="AG9" s="96" t="s">
        <v>147</v>
      </c>
      <c r="AH9" s="89"/>
    </row>
    <row r="10" spans="1:73" ht="30">
      <c r="A10" s="15" t="s">
        <v>17</v>
      </c>
      <c r="B10" s="9" t="s">
        <v>18</v>
      </c>
      <c r="C10" s="9" t="s">
        <v>102</v>
      </c>
      <c r="D10" s="66">
        <v>22.038</v>
      </c>
      <c r="E10" s="64">
        <v>22.643999999999998</v>
      </c>
      <c r="F10" s="64">
        <v>23.151</v>
      </c>
      <c r="G10" s="54">
        <v>23.151</v>
      </c>
      <c r="H10" s="54" t="s">
        <v>120</v>
      </c>
      <c r="I10" s="54">
        <f>F10+0.079+0.056</f>
        <v>23.286000000000001</v>
      </c>
      <c r="J10" s="54">
        <f>F10+J11+J12</f>
        <v>23.626139999999999</v>
      </c>
      <c r="K10" s="54">
        <f>F10+K11+K12</f>
        <v>23.665000000000003</v>
      </c>
      <c r="L10" s="54">
        <v>23.664999999999999</v>
      </c>
      <c r="M10" s="54">
        <v>23.664999999999999</v>
      </c>
      <c r="N10" s="97">
        <v>23.664999999999999</v>
      </c>
      <c r="O10" s="54">
        <v>23.664999999999999</v>
      </c>
      <c r="P10" s="54">
        <f>K10+P11+P12</f>
        <v>24.103000000000005</v>
      </c>
      <c r="Q10" s="54">
        <v>24.103000000000002</v>
      </c>
      <c r="R10" s="54">
        <v>23.664999999999999</v>
      </c>
      <c r="S10" s="54">
        <v>24.103000000000002</v>
      </c>
      <c r="T10" s="98">
        <v>23.939</v>
      </c>
      <c r="U10" s="54">
        <f>M10+U11+U12</f>
        <v>24.158628284765328</v>
      </c>
      <c r="V10" s="54">
        <v>24.236999999999998</v>
      </c>
      <c r="W10" s="54">
        <v>24.806000000000001</v>
      </c>
      <c r="X10" s="54">
        <v>25.347000000000001</v>
      </c>
      <c r="Y10" s="54">
        <v>25.888000000000002</v>
      </c>
      <c r="Z10" s="54">
        <v>26.216999999999999</v>
      </c>
      <c r="AA10" s="99">
        <f t="shared" ref="AA10:AB13" si="0">E10/D10</f>
        <v>1.0274979580724202</v>
      </c>
      <c r="AB10" s="99">
        <f t="shared" si="0"/>
        <v>1.0223900370959196</v>
      </c>
      <c r="AC10" s="99">
        <f>K10/F10</f>
        <v>1.0222020647056285</v>
      </c>
      <c r="AD10" s="100">
        <f>P10/K10</f>
        <v>1.018508345658145</v>
      </c>
      <c r="AE10" s="100">
        <f>W10/P10</f>
        <v>1.0291664937974525</v>
      </c>
      <c r="AF10" s="100">
        <f>X10/W10</f>
        <v>1.0218092397000726</v>
      </c>
      <c r="AG10" s="100">
        <f>Y10/X10</f>
        <v>1.0213437487671124</v>
      </c>
      <c r="AH10" s="101" t="s">
        <v>173</v>
      </c>
      <c r="AI10" s="62">
        <f>Y10+AI11+AI12</f>
        <v>26.429350000000003</v>
      </c>
      <c r="AJ10" s="62">
        <f>AI10+AJ11+AJ12</f>
        <v>26.972736833333336</v>
      </c>
      <c r="AK10" s="102" t="s">
        <v>174</v>
      </c>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row>
    <row r="11" spans="1:73" ht="45">
      <c r="A11" s="15" t="s">
        <v>20</v>
      </c>
      <c r="B11" s="9" t="s">
        <v>21</v>
      </c>
      <c r="C11" s="9" t="s">
        <v>22</v>
      </c>
      <c r="D11" s="65">
        <v>0.11700000000000001</v>
      </c>
      <c r="E11" s="65">
        <v>0.14099999999999999</v>
      </c>
      <c r="F11" s="64">
        <f>164/1000</f>
        <v>0.16400000000000001</v>
      </c>
      <c r="G11" s="54">
        <f>164/1000</f>
        <v>0.16400000000000001</v>
      </c>
      <c r="H11" s="48">
        <f>76/1000</f>
        <v>7.5999999999999998E-2</v>
      </c>
      <c r="I11" s="48" t="s">
        <v>137</v>
      </c>
      <c r="J11" s="48">
        <f>(79*2)/1000</f>
        <v>0.158</v>
      </c>
      <c r="K11" s="48">
        <v>0.19</v>
      </c>
      <c r="L11" s="48">
        <v>0.19</v>
      </c>
      <c r="M11" s="54">
        <v>0.19</v>
      </c>
      <c r="N11" s="54">
        <v>0.19</v>
      </c>
      <c r="O11" s="71" t="s">
        <v>141</v>
      </c>
      <c r="P11" s="48">
        <f>164/1000</f>
        <v>0.16400000000000001</v>
      </c>
      <c r="Q11" s="48">
        <f>164/1000</f>
        <v>0.16400000000000001</v>
      </c>
      <c r="R11" s="71" t="s">
        <v>141</v>
      </c>
      <c r="S11" s="48">
        <f>164/1000</f>
        <v>0.16400000000000001</v>
      </c>
      <c r="T11" s="103" t="s">
        <v>141</v>
      </c>
      <c r="U11" s="48">
        <f>(164+190)/2/1000</f>
        <v>0.17699999999999999</v>
      </c>
      <c r="V11" s="54">
        <v>0.251</v>
      </c>
      <c r="W11" s="54">
        <f>(V11+M11+F11)/3</f>
        <v>0.20166666666666666</v>
      </c>
      <c r="X11" s="54">
        <f t="shared" ref="X11:Z12" si="1">W11</f>
        <v>0.20166666666666666</v>
      </c>
      <c r="Y11" s="54">
        <f t="shared" si="1"/>
        <v>0.20166666666666666</v>
      </c>
      <c r="Z11" s="54">
        <f t="shared" si="1"/>
        <v>0.20166666666666666</v>
      </c>
      <c r="AA11" s="99">
        <f t="shared" si="0"/>
        <v>1.2051282051282048</v>
      </c>
      <c r="AB11" s="99">
        <f t="shared" si="0"/>
        <v>1.1631205673758866</v>
      </c>
      <c r="AC11" s="99">
        <f>K11/F11</f>
        <v>1.1585365853658536</v>
      </c>
      <c r="AD11" s="100">
        <f>P11/K11</f>
        <v>0.86315789473684212</v>
      </c>
      <c r="AE11" s="100">
        <f>W11/P11</f>
        <v>1.2296747967479673</v>
      </c>
      <c r="AF11" s="100">
        <f t="shared" ref="AF11:AG13" si="2">X11/W11</f>
        <v>1</v>
      </c>
      <c r="AG11" s="100">
        <f t="shared" si="2"/>
        <v>1</v>
      </c>
      <c r="AH11" s="101" t="s">
        <v>175</v>
      </c>
      <c r="AI11" s="32">
        <f>Y11*1.01</f>
        <v>0.20368333333333333</v>
      </c>
      <c r="AJ11" s="104">
        <f>AI11*1.01</f>
        <v>0.20572016666666668</v>
      </c>
      <c r="AK11" s="6"/>
    </row>
    <row r="12" spans="1:73" ht="45">
      <c r="A12" s="15" t="s">
        <v>23</v>
      </c>
      <c r="B12" s="9" t="s">
        <v>24</v>
      </c>
      <c r="C12" s="9" t="s">
        <v>22</v>
      </c>
      <c r="D12" s="66">
        <v>0.55800000000000005</v>
      </c>
      <c r="E12" s="66">
        <v>0.39600000000000002</v>
      </c>
      <c r="F12" s="64">
        <f>314/1000</f>
        <v>0.314</v>
      </c>
      <c r="G12" s="54">
        <f>314/1000</f>
        <v>0.314</v>
      </c>
      <c r="H12" s="11">
        <f>56/1000</f>
        <v>5.6000000000000001E-2</v>
      </c>
      <c r="I12" s="11" t="s">
        <v>138</v>
      </c>
      <c r="J12" s="11">
        <f>314*1.01/1000</f>
        <v>0.31713999999999998</v>
      </c>
      <c r="K12" s="11">
        <f>0.359-0.035</f>
        <v>0.32399999999999995</v>
      </c>
      <c r="L12" s="11">
        <f>0.359-0.035</f>
        <v>0.32399999999999995</v>
      </c>
      <c r="M12" s="54">
        <v>0.35899999999999999</v>
      </c>
      <c r="N12" s="54">
        <v>0.35899999999999999</v>
      </c>
      <c r="O12" s="71" t="s">
        <v>141</v>
      </c>
      <c r="P12" s="11">
        <f>314/1000-0.04</f>
        <v>0.27400000000000002</v>
      </c>
      <c r="Q12" s="11">
        <f>314/1000-0.04</f>
        <v>0.27400000000000002</v>
      </c>
      <c r="R12" s="71" t="s">
        <v>141</v>
      </c>
      <c r="S12" s="11">
        <f>314/1000-0.04</f>
        <v>0.27400000000000002</v>
      </c>
      <c r="T12" s="103" t="s">
        <v>141</v>
      </c>
      <c r="U12" s="11">
        <f>((E12/D12)+(F12/E12)+(M12/F12))/3*M12</f>
        <v>0.31662828476533011</v>
      </c>
      <c r="V12" s="54">
        <v>0.34</v>
      </c>
      <c r="W12" s="54">
        <f>(V12+M12+F12)/3</f>
        <v>0.33766666666666673</v>
      </c>
      <c r="X12" s="54">
        <f t="shared" si="1"/>
        <v>0.33766666666666673</v>
      </c>
      <c r="Y12" s="54">
        <f t="shared" si="1"/>
        <v>0.33766666666666673</v>
      </c>
      <c r="Z12" s="54">
        <f t="shared" si="1"/>
        <v>0.33766666666666673</v>
      </c>
      <c r="AA12" s="99">
        <f t="shared" si="0"/>
        <v>0.70967741935483863</v>
      </c>
      <c r="AB12" s="99">
        <f t="shared" si="0"/>
        <v>0.79292929292929293</v>
      </c>
      <c r="AC12" s="99">
        <f>K12/F12</f>
        <v>1.0318471337579616</v>
      </c>
      <c r="AD12" s="100">
        <f>P12/K12</f>
        <v>0.84567901234567922</v>
      </c>
      <c r="AE12" s="100">
        <f>W12/P12</f>
        <v>1.2323600973236011</v>
      </c>
      <c r="AF12" s="100">
        <f t="shared" si="2"/>
        <v>1</v>
      </c>
      <c r="AG12" s="100">
        <f t="shared" si="2"/>
        <v>1</v>
      </c>
      <c r="AH12" s="101" t="s">
        <v>175</v>
      </c>
      <c r="AI12" s="22">
        <f>Y12</f>
        <v>0.33766666666666673</v>
      </c>
      <c r="AJ12" s="105">
        <f>AI12</f>
        <v>0.33766666666666673</v>
      </c>
      <c r="AK12" s="6"/>
    </row>
    <row r="13" spans="1:73" ht="45">
      <c r="A13" s="15" t="s">
        <v>25</v>
      </c>
      <c r="B13" s="9" t="s">
        <v>26</v>
      </c>
      <c r="C13" s="9" t="s">
        <v>22</v>
      </c>
      <c r="D13" s="22">
        <v>14.12</v>
      </c>
      <c r="E13" s="21">
        <v>14.26</v>
      </c>
      <c r="F13" s="11">
        <f>14258/1000</f>
        <v>14.257999999999999</v>
      </c>
      <c r="G13" s="11">
        <f>14258/1000</f>
        <v>14.257999999999999</v>
      </c>
      <c r="H13" s="11" t="s">
        <v>119</v>
      </c>
      <c r="I13" s="11" t="s">
        <v>119</v>
      </c>
      <c r="J13" s="11">
        <f>SUM(F13*1.01)</f>
        <v>14.40058</v>
      </c>
      <c r="K13" s="11">
        <v>14.438000000000001</v>
      </c>
      <c r="L13" s="11">
        <v>14.4</v>
      </c>
      <c r="M13" s="11">
        <v>14.590999999999999</v>
      </c>
      <c r="N13" s="11">
        <v>14.590999999999999</v>
      </c>
      <c r="O13" s="71" t="s">
        <v>141</v>
      </c>
      <c r="P13" s="11">
        <v>14.6</v>
      </c>
      <c r="Q13" s="11">
        <v>14.6</v>
      </c>
      <c r="R13" s="71" t="s">
        <v>141</v>
      </c>
      <c r="S13" s="11">
        <v>14.6</v>
      </c>
      <c r="T13" s="55" t="s">
        <v>141</v>
      </c>
      <c r="U13" s="11">
        <v>14.6</v>
      </c>
      <c r="V13" s="106" t="s">
        <v>176</v>
      </c>
      <c r="W13" s="11">
        <v>14.7</v>
      </c>
      <c r="X13" s="11">
        <v>14.7</v>
      </c>
      <c r="Y13" s="11">
        <v>14.7</v>
      </c>
      <c r="Z13" s="11">
        <f>Y13</f>
        <v>14.7</v>
      </c>
      <c r="AA13" s="99">
        <f t="shared" si="0"/>
        <v>1.0099150141643061</v>
      </c>
      <c r="AB13" s="99">
        <f t="shared" si="0"/>
        <v>0.99985974754558204</v>
      </c>
      <c r="AC13" s="99">
        <f>K13/F13</f>
        <v>1.0126244915135363</v>
      </c>
      <c r="AD13" s="100">
        <f>P13/K13</f>
        <v>1.0112203906358221</v>
      </c>
      <c r="AE13" s="100">
        <f>W13/P13</f>
        <v>1.0068493150684932</v>
      </c>
      <c r="AF13" s="100">
        <f t="shared" si="2"/>
        <v>1</v>
      </c>
      <c r="AG13" s="100">
        <f t="shared" si="2"/>
        <v>1</v>
      </c>
      <c r="AH13" s="101" t="s">
        <v>177</v>
      </c>
      <c r="AI13" s="6"/>
      <c r="AJ13" s="6"/>
      <c r="AK13" s="6"/>
    </row>
    <row r="14" spans="1:73">
      <c r="A14" s="15" t="s">
        <v>27</v>
      </c>
      <c r="B14" s="107" t="s">
        <v>28</v>
      </c>
      <c r="C14" s="93"/>
      <c r="D14" s="60"/>
      <c r="E14" s="60"/>
      <c r="F14" s="93"/>
      <c r="G14" s="23"/>
      <c r="H14" s="23"/>
      <c r="I14" s="23"/>
      <c r="J14" s="23"/>
      <c r="K14" s="23"/>
      <c r="L14" s="23"/>
      <c r="M14" s="23"/>
      <c r="N14" s="23"/>
      <c r="O14" s="23"/>
      <c r="P14" s="23"/>
      <c r="Q14" s="23"/>
      <c r="R14" s="23"/>
      <c r="S14" s="23"/>
      <c r="T14" s="23"/>
      <c r="U14" s="23"/>
      <c r="V14" s="23"/>
      <c r="W14" s="23"/>
      <c r="X14" s="23"/>
      <c r="Y14" s="23"/>
      <c r="Z14" s="23"/>
      <c r="AA14" s="23">
        <f t="shared" ref="AA14:AG14" si="3">AA23*AA18*12/1000</f>
        <v>1.3717933423069262E-2</v>
      </c>
      <c r="AB14" s="23">
        <f t="shared" si="3"/>
        <v>1.2584832831064659E-2</v>
      </c>
      <c r="AC14" s="23">
        <f t="shared" si="3"/>
        <v>1.4500143299914548E-2</v>
      </c>
      <c r="AD14" s="23">
        <f t="shared" si="3"/>
        <v>1.2728338401812827E-2</v>
      </c>
      <c r="AE14" s="23">
        <f t="shared" si="3"/>
        <v>1.1666232521010442E-2</v>
      </c>
      <c r="AF14" s="23">
        <f t="shared" si="3"/>
        <v>1.2182741116751271E-2</v>
      </c>
      <c r="AG14" s="23">
        <f t="shared" si="3"/>
        <v>1.2359999999999999E-2</v>
      </c>
      <c r="AH14" s="108"/>
      <c r="AI14" s="6"/>
      <c r="AJ14" s="6"/>
      <c r="AK14" s="6"/>
    </row>
    <row r="15" spans="1:73" ht="60">
      <c r="A15" s="15" t="s">
        <v>29</v>
      </c>
      <c r="B15" s="9" t="s">
        <v>30</v>
      </c>
      <c r="C15" s="9" t="s">
        <v>31</v>
      </c>
      <c r="D15" s="23">
        <v>8670.7999999999993</v>
      </c>
      <c r="E15" s="23">
        <v>9248.2000000000007</v>
      </c>
      <c r="F15" s="23">
        <v>10156.270399999999</v>
      </c>
      <c r="G15" s="109">
        <f>G17+(G18-G20)*G23*0.5*12/1000</f>
        <v>10844.047364</v>
      </c>
      <c r="H15" s="23" t="s">
        <v>116</v>
      </c>
      <c r="I15" s="23" t="s">
        <v>139</v>
      </c>
      <c r="J15" s="23">
        <f>PRODUCT(F15*1.1)</f>
        <v>11171.897440000001</v>
      </c>
      <c r="K15" s="23">
        <v>10224.038</v>
      </c>
      <c r="L15" s="23">
        <v>10224.038</v>
      </c>
      <c r="M15" s="23">
        <v>10224.038</v>
      </c>
      <c r="N15" s="109">
        <f>N17+(N18-N20)*N23*0.5*12/1000</f>
        <v>11236.808045</v>
      </c>
      <c r="O15" s="71" t="s">
        <v>141</v>
      </c>
      <c r="P15" s="23">
        <f>P18*P23/100</f>
        <v>10847.623908000001</v>
      </c>
      <c r="Q15" s="23">
        <f>P15</f>
        <v>10847.623908000001</v>
      </c>
      <c r="R15" s="71" t="s">
        <v>141</v>
      </c>
      <c r="S15" s="23">
        <f>S18*S23/100</f>
        <v>10847.623908000001</v>
      </c>
      <c r="T15" s="23" t="s">
        <v>178</v>
      </c>
      <c r="U15" s="23">
        <f>5406.7*2</f>
        <v>10813.4</v>
      </c>
      <c r="V15" s="23">
        <f>V17+(V18-V20)*V23*0.5*12/1000</f>
        <v>11769.755925000001</v>
      </c>
      <c r="W15" s="23">
        <f>W17+(W18-W20)*W23*0.5*12/1000</f>
        <v>11607.234949905</v>
      </c>
      <c r="X15" s="23">
        <f t="shared" ref="X15:Z15" si="4">X17+(X18-X20)*X23*0.5*12/1000</f>
        <v>11798.229279000001</v>
      </c>
      <c r="Y15" s="23">
        <f t="shared" si="4"/>
        <v>12166.83759555</v>
      </c>
      <c r="Z15" s="23">
        <f t="shared" si="4"/>
        <v>12546.944004741903</v>
      </c>
      <c r="AA15" s="99">
        <f>E15/D15</f>
        <v>1.0665913179868065</v>
      </c>
      <c r="AB15" s="99">
        <f>F15/E15</f>
        <v>1.0981888799982698</v>
      </c>
      <c r="AC15" s="99">
        <f>K15/F15</f>
        <v>1.0066724887513827</v>
      </c>
      <c r="AD15" s="100">
        <f>P15/K15</f>
        <v>1.0609921352013756</v>
      </c>
      <c r="AE15" s="100">
        <f>W15/P15</f>
        <v>1.0700255695023491</v>
      </c>
      <c r="AF15" s="100">
        <f t="shared" ref="AF15:AG18" si="5">X15/W15</f>
        <v>1.0164547654906015</v>
      </c>
      <c r="AG15" s="100">
        <f t="shared" si="5"/>
        <v>1.0312426812391327</v>
      </c>
      <c r="AH15" s="89" t="s">
        <v>179</v>
      </c>
      <c r="AI15" s="6"/>
      <c r="AJ15" s="6">
        <f>X15/W15</f>
        <v>1.0164547654906015</v>
      </c>
      <c r="AK15" s="6"/>
    </row>
    <row r="16" spans="1:73" outlineLevel="1">
      <c r="A16" s="15"/>
      <c r="B16" s="9" t="s">
        <v>180</v>
      </c>
      <c r="C16" s="9"/>
      <c r="D16" s="23"/>
      <c r="E16" s="23"/>
      <c r="F16" s="23"/>
      <c r="G16" s="23"/>
      <c r="H16" s="23"/>
      <c r="I16" s="23"/>
      <c r="J16" s="23"/>
      <c r="K16" s="23"/>
      <c r="L16" s="23"/>
      <c r="M16" s="23"/>
      <c r="N16" s="23"/>
      <c r="O16" s="71"/>
      <c r="P16" s="23"/>
      <c r="Q16" s="23"/>
      <c r="R16" s="71"/>
      <c r="S16" s="23"/>
      <c r="T16" s="23"/>
      <c r="U16" s="23"/>
      <c r="V16" s="23"/>
      <c r="W16" s="23"/>
      <c r="X16" s="23"/>
      <c r="Y16" s="23"/>
      <c r="Z16" s="23"/>
      <c r="AA16" s="99"/>
      <c r="AB16" s="99"/>
      <c r="AC16" s="99"/>
      <c r="AD16" s="100"/>
      <c r="AE16" s="100"/>
      <c r="AF16" s="100"/>
      <c r="AG16" s="100"/>
      <c r="AH16" s="89"/>
      <c r="AI16" s="6"/>
      <c r="AJ16" s="6"/>
      <c r="AK16" s="6"/>
    </row>
    <row r="17" spans="1:37" ht="60" outlineLevel="1">
      <c r="A17" s="110" t="s">
        <v>181</v>
      </c>
      <c r="B17" s="9" t="s">
        <v>182</v>
      </c>
      <c r="C17" s="9" t="s">
        <v>31</v>
      </c>
      <c r="D17" s="23"/>
      <c r="E17" s="23"/>
      <c r="F17" s="23"/>
      <c r="G17" s="23">
        <f>10156.2704</f>
        <v>10156.270399999999</v>
      </c>
      <c r="H17" s="23"/>
      <c r="I17" s="23"/>
      <c r="J17" s="23"/>
      <c r="K17" s="23"/>
      <c r="L17" s="23"/>
      <c r="M17" s="23"/>
      <c r="N17" s="23">
        <f>10224.038</f>
        <v>10224.038</v>
      </c>
      <c r="O17" s="71"/>
      <c r="P17" s="23"/>
      <c r="Q17" s="23"/>
      <c r="R17" s="71"/>
      <c r="S17" s="23"/>
      <c r="T17" s="23"/>
      <c r="U17" s="23"/>
      <c r="V17" s="23">
        <f>10691.709</f>
        <v>10691.709000000001</v>
      </c>
      <c r="W17" s="23">
        <f>W23*W20/1000*12</f>
        <v>10559.37961869</v>
      </c>
      <c r="X17" s="23">
        <f t="shared" ref="X17:Z17" si="6">X23*X20/1000*12</f>
        <v>10748.651166000001</v>
      </c>
      <c r="Y17" s="23">
        <f t="shared" si="6"/>
        <v>11100.433577340002</v>
      </c>
      <c r="Z17" s="23">
        <f t="shared" si="6"/>
        <v>11463.649147311004</v>
      </c>
      <c r="AA17" s="99"/>
      <c r="AB17" s="99"/>
      <c r="AC17" s="99"/>
      <c r="AD17" s="100"/>
      <c r="AE17" s="100"/>
      <c r="AF17" s="100"/>
      <c r="AG17" s="100"/>
      <c r="AH17" s="101" t="s">
        <v>175</v>
      </c>
      <c r="AI17" s="6"/>
      <c r="AJ17" s="6"/>
      <c r="AK17" s="6"/>
    </row>
    <row r="18" spans="1:37" ht="60">
      <c r="A18" s="15" t="s">
        <v>32</v>
      </c>
      <c r="B18" s="9" t="s">
        <v>33</v>
      </c>
      <c r="C18" s="9" t="s">
        <v>19</v>
      </c>
      <c r="D18" s="66">
        <v>15.606999999999999</v>
      </c>
      <c r="E18" s="66">
        <v>15.449</v>
      </c>
      <c r="F18" s="64">
        <v>13.615</v>
      </c>
      <c r="G18" s="97">
        <v>15.459</v>
      </c>
      <c r="H18" s="54" t="s">
        <v>118</v>
      </c>
      <c r="I18" s="54" t="s">
        <v>118</v>
      </c>
      <c r="J18" s="54">
        <v>15.468999999999999</v>
      </c>
      <c r="K18" s="54">
        <v>15.257999999999999</v>
      </c>
      <c r="L18" s="54">
        <v>15.257999999999999</v>
      </c>
      <c r="M18" s="54">
        <v>12.734999999999999</v>
      </c>
      <c r="N18" s="97">
        <v>15.257999999999999</v>
      </c>
      <c r="O18" s="54" t="s">
        <v>154</v>
      </c>
      <c r="P18" s="54">
        <v>15.268000000000001</v>
      </c>
      <c r="Q18" s="54">
        <v>15.268000000000001</v>
      </c>
      <c r="R18" s="54" t="s">
        <v>154</v>
      </c>
      <c r="S18" s="54">
        <v>15.268000000000001</v>
      </c>
      <c r="T18" s="54" t="s">
        <v>183</v>
      </c>
      <c r="U18" s="54">
        <f>12.735+(12.865-12.735)*2</f>
        <v>12.995000000000001</v>
      </c>
      <c r="V18" s="111">
        <f>N18+(V20-N20)+(V34-N34)/1000</f>
        <v>15.343999999999999</v>
      </c>
      <c r="W18" s="111">
        <f>V18</f>
        <v>15.343999999999999</v>
      </c>
      <c r="X18" s="111">
        <f t="shared" ref="X18:Z18" si="7">W18</f>
        <v>15.343999999999999</v>
      </c>
      <c r="Y18" s="111">
        <f t="shared" si="7"/>
        <v>15.343999999999999</v>
      </c>
      <c r="Z18" s="111">
        <f t="shared" si="7"/>
        <v>15.343999999999999</v>
      </c>
      <c r="AA18" s="99">
        <f>E18/D18</f>
        <v>0.98987633754084714</v>
      </c>
      <c r="AB18" s="99">
        <f>F18/E18</f>
        <v>0.88128681468056191</v>
      </c>
      <c r="AC18" s="99">
        <f>K18/F18</f>
        <v>1.1206757253029747</v>
      </c>
      <c r="AD18" s="100">
        <f>P18/K18</f>
        <v>1.0006553938917291</v>
      </c>
      <c r="AE18" s="100">
        <f>W18/P18</f>
        <v>1.004977731202515</v>
      </c>
      <c r="AF18" s="100">
        <f t="shared" si="5"/>
        <v>1</v>
      </c>
      <c r="AG18" s="100">
        <f t="shared" si="5"/>
        <v>1</v>
      </c>
      <c r="AH18" s="89" t="s">
        <v>184</v>
      </c>
      <c r="AI18" s="112"/>
      <c r="AJ18" s="6">
        <f>X18/W18</f>
        <v>1</v>
      </c>
    </row>
    <row r="19" spans="1:37" outlineLevel="1">
      <c r="A19" s="15"/>
      <c r="B19" s="9" t="s">
        <v>180</v>
      </c>
      <c r="C19" s="9"/>
      <c r="D19" s="66"/>
      <c r="E19" s="66"/>
      <c r="F19" s="64"/>
      <c r="G19" s="97"/>
      <c r="H19" s="11"/>
      <c r="I19" s="11"/>
      <c r="J19" s="11"/>
      <c r="K19" s="11"/>
      <c r="L19" s="11"/>
      <c r="M19" s="54"/>
      <c r="N19" s="97"/>
      <c r="O19" s="11"/>
      <c r="P19" s="11"/>
      <c r="Q19" s="11"/>
      <c r="R19" s="11"/>
      <c r="S19" s="11"/>
      <c r="T19" s="11"/>
      <c r="U19" s="54"/>
      <c r="V19" s="54"/>
      <c r="W19" s="54"/>
      <c r="X19" s="54"/>
      <c r="Y19" s="54"/>
      <c r="Z19" s="54"/>
      <c r="AA19" s="99"/>
      <c r="AB19" s="99"/>
      <c r="AC19" s="99"/>
      <c r="AD19" s="100"/>
      <c r="AE19" s="100"/>
      <c r="AF19" s="100"/>
      <c r="AG19" s="100"/>
      <c r="AH19" s="101"/>
      <c r="AI19" s="112"/>
      <c r="AJ19" s="6"/>
    </row>
    <row r="20" spans="1:37" ht="48" customHeight="1" outlineLevel="1">
      <c r="A20" s="15" t="s">
        <v>185</v>
      </c>
      <c r="B20" s="9" t="s">
        <v>186</v>
      </c>
      <c r="C20" s="9" t="s">
        <v>19</v>
      </c>
      <c r="D20" s="66"/>
      <c r="E20" s="113">
        <v>13.351000000000001</v>
      </c>
      <c r="F20" s="64"/>
      <c r="G20" s="54">
        <v>13.615</v>
      </c>
      <c r="H20" s="11"/>
      <c r="I20" s="11"/>
      <c r="J20" s="11"/>
      <c r="K20" s="11"/>
      <c r="L20" s="11"/>
      <c r="M20" s="54"/>
      <c r="N20" s="54">
        <v>12.734999999999999</v>
      </c>
      <c r="O20" s="11"/>
      <c r="P20" s="11"/>
      <c r="Q20" s="11"/>
      <c r="R20" s="11"/>
      <c r="S20" s="11"/>
      <c r="T20" s="11"/>
      <c r="U20" s="54"/>
      <c r="V20" s="54">
        <v>12.769</v>
      </c>
      <c r="W20" s="54">
        <f>(V20-N20)+V20</f>
        <v>12.803000000000001</v>
      </c>
      <c r="X20" s="54">
        <f>(W20-V20)+W20</f>
        <v>12.837000000000002</v>
      </c>
      <c r="Y20" s="54">
        <f t="shared" ref="Y20:Z20" si="8">(X20-W20)+X20</f>
        <v>12.871000000000002</v>
      </c>
      <c r="Z20" s="54">
        <f t="shared" si="8"/>
        <v>12.905000000000003</v>
      </c>
      <c r="AA20" s="99"/>
      <c r="AB20" s="99"/>
      <c r="AC20" s="99"/>
      <c r="AD20" s="100"/>
      <c r="AE20" s="100"/>
      <c r="AF20" s="100"/>
      <c r="AG20" s="100"/>
      <c r="AH20" s="101" t="s">
        <v>175</v>
      </c>
      <c r="AI20" s="112"/>
      <c r="AJ20" s="6"/>
    </row>
    <row r="21" spans="1:37" ht="48" customHeight="1" outlineLevel="1">
      <c r="A21" s="15" t="s">
        <v>187</v>
      </c>
      <c r="B21" s="9" t="s">
        <v>188</v>
      </c>
      <c r="C21" s="9" t="s">
        <v>19</v>
      </c>
      <c r="D21" s="66"/>
      <c r="E21" s="113"/>
      <c r="F21" s="64"/>
      <c r="G21" s="114">
        <v>2.665</v>
      </c>
      <c r="H21" s="115"/>
      <c r="I21" s="115"/>
      <c r="J21" s="115"/>
      <c r="K21" s="115"/>
      <c r="L21" s="115"/>
      <c r="M21" s="115"/>
      <c r="N21" s="116">
        <v>2.64</v>
      </c>
      <c r="O21" s="115"/>
      <c r="P21" s="115"/>
      <c r="Q21" s="115"/>
      <c r="R21" s="115"/>
      <c r="S21" s="115"/>
      <c r="T21" s="115"/>
      <c r="U21" s="115"/>
      <c r="V21" s="117">
        <f>N21+(V34-N34)/1000</f>
        <v>2.6920000000000002</v>
      </c>
      <c r="W21" s="117">
        <f>V21+(W34-V34)/1000</f>
        <v>2.7120000000000002</v>
      </c>
      <c r="X21" s="117">
        <f>W21+(X34-W34)/1000</f>
        <v>2.7320000000000002</v>
      </c>
      <c r="Y21" s="117">
        <f>X21+(Y34-X34)/1000</f>
        <v>2.7520000000000002</v>
      </c>
      <c r="Z21" s="117">
        <f>Y21+(Z34-Y34)/1000</f>
        <v>2.7720000000000002</v>
      </c>
      <c r="AA21" s="99"/>
      <c r="AB21" s="99"/>
      <c r="AC21" s="99"/>
      <c r="AD21" s="100"/>
      <c r="AE21" s="100"/>
      <c r="AF21" s="100"/>
      <c r="AG21" s="100"/>
      <c r="AH21" s="89" t="s">
        <v>189</v>
      </c>
      <c r="AI21" s="112"/>
      <c r="AJ21" s="6"/>
    </row>
    <row r="22" spans="1:37" ht="45">
      <c r="A22" s="15" t="s">
        <v>34</v>
      </c>
      <c r="B22" s="9" t="s">
        <v>35</v>
      </c>
      <c r="C22" s="9"/>
      <c r="D22" s="24"/>
      <c r="E22" s="24"/>
      <c r="F22" s="49"/>
      <c r="G22" s="49"/>
      <c r="H22" s="49"/>
      <c r="I22" s="49"/>
      <c r="J22" s="49"/>
      <c r="K22" s="49"/>
      <c r="L22" s="49"/>
      <c r="M22" s="49"/>
      <c r="N22" s="49"/>
      <c r="O22" s="49"/>
      <c r="P22" s="49"/>
      <c r="Q22" s="49"/>
      <c r="R22" s="49"/>
      <c r="S22" s="49"/>
      <c r="T22" s="49"/>
      <c r="U22" s="49"/>
      <c r="V22" s="49"/>
      <c r="W22" s="49"/>
      <c r="X22" s="49"/>
      <c r="Y22" s="49"/>
      <c r="Z22" s="49"/>
      <c r="AA22" s="99"/>
      <c r="AB22" s="99"/>
      <c r="AC22" s="99"/>
      <c r="AD22" s="83"/>
      <c r="AE22" s="83"/>
      <c r="AF22" s="83"/>
      <c r="AG22" s="83"/>
      <c r="AH22" s="108"/>
    </row>
    <row r="23" spans="1:37" ht="30">
      <c r="A23" s="15" t="s">
        <v>36</v>
      </c>
      <c r="B23" s="9" t="s">
        <v>37</v>
      </c>
      <c r="C23" s="9" t="s">
        <v>38</v>
      </c>
      <c r="D23" s="25">
        <v>49360.3</v>
      </c>
      <c r="E23" s="25">
        <v>57399.4</v>
      </c>
      <c r="F23" s="23">
        <v>62163.5</v>
      </c>
      <c r="G23" s="23">
        <v>62163.5</v>
      </c>
      <c r="H23" s="23" t="s">
        <v>128</v>
      </c>
      <c r="I23" s="23" t="s">
        <v>136</v>
      </c>
      <c r="J23" s="23">
        <v>65893.3</v>
      </c>
      <c r="K23" s="23">
        <v>67026.5</v>
      </c>
      <c r="L23" s="23">
        <v>66902.5</v>
      </c>
      <c r="M23" s="23">
        <v>66902.5</v>
      </c>
      <c r="N23" s="23">
        <v>66902.5</v>
      </c>
      <c r="O23" s="23" t="s">
        <v>155</v>
      </c>
      <c r="P23" s="13">
        <v>71048.100000000006</v>
      </c>
      <c r="Q23" s="13">
        <v>71048.100000000006</v>
      </c>
      <c r="R23" s="23">
        <v>72298</v>
      </c>
      <c r="S23" s="13">
        <v>71048.100000000006</v>
      </c>
      <c r="T23" s="13" t="s">
        <v>190</v>
      </c>
      <c r="U23" s="13">
        <v>71048.100000000006</v>
      </c>
      <c r="V23" s="13">
        <v>69776.5</v>
      </c>
      <c r="W23" s="13">
        <f>V23*0.985</f>
        <v>68729.852499999994</v>
      </c>
      <c r="X23" s="13">
        <f>V23</f>
        <v>69776.5</v>
      </c>
      <c r="Y23" s="13">
        <f>X23*1.03</f>
        <v>71869.794999999998</v>
      </c>
      <c r="Z23" s="13">
        <f>Y23*1.03</f>
        <v>74025.888850000003</v>
      </c>
      <c r="AA23" s="99">
        <f>E24/D24</f>
        <v>1.1548524550339931</v>
      </c>
      <c r="AB23" s="99">
        <f>F24/E24</f>
        <v>1.1900054009494301</v>
      </c>
      <c r="AC23" s="99">
        <f t="shared" ref="AC23:AC30" si="9">K23/F23</f>
        <v>1.0782291859370852</v>
      </c>
      <c r="AD23" s="100">
        <f t="shared" ref="AD23:AD30" si="10">P23/K23</f>
        <v>1.0600001491947215</v>
      </c>
      <c r="AE23" s="100">
        <f>W23/P23</f>
        <v>0.96737073194075551</v>
      </c>
      <c r="AF23" s="100">
        <f t="shared" ref="AF23:AG23" si="11">X23/W23</f>
        <v>1.0152284263959392</v>
      </c>
      <c r="AG23" s="100">
        <f t="shared" si="11"/>
        <v>1.03</v>
      </c>
      <c r="AH23" s="101" t="s">
        <v>175</v>
      </c>
      <c r="AJ23" s="118">
        <f>W15/W18/12</f>
        <v>63.038945461336681</v>
      </c>
    </row>
    <row r="24" spans="1:37" ht="30">
      <c r="A24" s="15" t="s">
        <v>39</v>
      </c>
      <c r="B24" s="9" t="s">
        <v>40</v>
      </c>
      <c r="C24" s="119" t="s">
        <v>38</v>
      </c>
      <c r="D24" s="38">
        <v>30461.9</v>
      </c>
      <c r="E24" s="38">
        <v>35179</v>
      </c>
      <c r="F24" s="50">
        <v>41863.199999999997</v>
      </c>
      <c r="G24" s="50">
        <v>41863.199999999997</v>
      </c>
      <c r="H24" s="50">
        <v>46494.9</v>
      </c>
      <c r="I24" s="50">
        <v>42709.8</v>
      </c>
      <c r="J24" s="23">
        <v>44300</v>
      </c>
      <c r="K24" s="23">
        <v>44508.7</v>
      </c>
      <c r="L24" s="23">
        <v>44508.7</v>
      </c>
      <c r="M24" s="23">
        <v>44508.7</v>
      </c>
      <c r="N24" s="23">
        <v>44508.7</v>
      </c>
      <c r="O24" s="23">
        <v>52543.4</v>
      </c>
      <c r="P24" s="28">
        <v>46645.1</v>
      </c>
      <c r="Q24" s="28">
        <v>46645.1</v>
      </c>
      <c r="R24" s="23">
        <v>52543.4</v>
      </c>
      <c r="S24" s="28">
        <v>46645.1</v>
      </c>
      <c r="T24" s="28">
        <v>46664.9</v>
      </c>
      <c r="U24" s="28">
        <v>46645.1</v>
      </c>
      <c r="V24" s="120">
        <v>47916.800000000003</v>
      </c>
      <c r="W24" s="28"/>
      <c r="X24" s="120"/>
      <c r="Y24" s="120"/>
      <c r="Z24" s="120"/>
      <c r="AA24" s="99">
        <f t="shared" ref="AA24:AB30" si="12">E24/D24</f>
        <v>1.1548524550339931</v>
      </c>
      <c r="AB24" s="99">
        <f t="shared" si="12"/>
        <v>1.1900054009494301</v>
      </c>
      <c r="AC24" s="99">
        <f t="shared" si="9"/>
        <v>1.0631939268856656</v>
      </c>
      <c r="AD24" s="100">
        <f t="shared" si="10"/>
        <v>1.0479996045716906</v>
      </c>
      <c r="AE24" s="100"/>
      <c r="AF24" s="100"/>
      <c r="AG24" s="100"/>
      <c r="AH24" s="89" t="s">
        <v>191</v>
      </c>
      <c r="AI24" s="6"/>
      <c r="AJ24" s="6"/>
      <c r="AK24" s="6"/>
    </row>
    <row r="25" spans="1:37" ht="30">
      <c r="A25" s="15" t="s">
        <v>41</v>
      </c>
      <c r="B25" s="9" t="s">
        <v>107</v>
      </c>
      <c r="C25" s="119" t="s">
        <v>38</v>
      </c>
      <c r="D25" s="26"/>
      <c r="E25" s="26"/>
      <c r="F25" s="23">
        <v>47511.7</v>
      </c>
      <c r="G25" s="23">
        <v>47511.7</v>
      </c>
      <c r="H25" s="23">
        <v>57589.5</v>
      </c>
      <c r="I25" s="23">
        <v>50027.199999999997</v>
      </c>
      <c r="J25" s="23">
        <v>51075</v>
      </c>
      <c r="K25" s="23">
        <v>53010.5</v>
      </c>
      <c r="L25" s="23">
        <v>53010.5</v>
      </c>
      <c r="M25" s="23">
        <v>53010.5</v>
      </c>
      <c r="N25" s="23">
        <v>53010.5</v>
      </c>
      <c r="O25" s="23">
        <v>66852.899999999994</v>
      </c>
      <c r="P25" s="28">
        <v>55384.800000000003</v>
      </c>
      <c r="Q25" s="28">
        <v>55384.800000000003</v>
      </c>
      <c r="R25" s="23">
        <v>66852.899999999994</v>
      </c>
      <c r="S25" s="28">
        <v>55384.800000000003</v>
      </c>
      <c r="T25" s="28">
        <v>56412</v>
      </c>
      <c r="U25" s="28">
        <v>55384.800000000003</v>
      </c>
      <c r="V25" s="28">
        <v>58491.4</v>
      </c>
      <c r="W25" s="28"/>
      <c r="X25" s="120"/>
      <c r="Y25" s="120"/>
      <c r="Z25" s="120"/>
      <c r="AA25" s="99" t="e">
        <f t="shared" si="12"/>
        <v>#DIV/0!</v>
      </c>
      <c r="AB25" s="99" t="e">
        <f t="shared" si="12"/>
        <v>#DIV/0!</v>
      </c>
      <c r="AC25" s="99">
        <f t="shared" si="9"/>
        <v>1.1157357029952624</v>
      </c>
      <c r="AD25" s="100">
        <f t="shared" si="10"/>
        <v>1.0447892398675735</v>
      </c>
      <c r="AE25" s="100"/>
      <c r="AF25" s="100"/>
      <c r="AG25" s="100"/>
      <c r="AH25" s="89" t="s">
        <v>191</v>
      </c>
      <c r="AI25" s="6"/>
      <c r="AJ25" s="6"/>
      <c r="AK25" s="6"/>
    </row>
    <row r="26" spans="1:37" ht="30">
      <c r="A26" s="15" t="s">
        <v>42</v>
      </c>
      <c r="B26" s="9" t="s">
        <v>43</v>
      </c>
      <c r="C26" s="9" t="s">
        <v>38</v>
      </c>
      <c r="D26" s="26">
        <v>44123.7</v>
      </c>
      <c r="E26" s="26">
        <v>48771.4</v>
      </c>
      <c r="F26" s="23">
        <v>55030</v>
      </c>
      <c r="G26" s="23">
        <v>55030</v>
      </c>
      <c r="H26" s="23">
        <v>72291</v>
      </c>
      <c r="I26" s="23">
        <v>59256.2</v>
      </c>
      <c r="J26" s="23">
        <v>59256.2</v>
      </c>
      <c r="K26" s="23">
        <v>59939.5</v>
      </c>
      <c r="L26" s="23">
        <v>59939.5</v>
      </c>
      <c r="M26" s="23">
        <v>59939.5</v>
      </c>
      <c r="N26" s="23">
        <v>59939.5</v>
      </c>
      <c r="O26" s="23">
        <v>83084.3</v>
      </c>
      <c r="P26" s="28">
        <v>62816.6</v>
      </c>
      <c r="Q26" s="28">
        <v>62816.6</v>
      </c>
      <c r="R26" s="23">
        <v>83084.3</v>
      </c>
      <c r="S26" s="28">
        <v>62816.6</v>
      </c>
      <c r="T26" s="28">
        <v>64972.61</v>
      </c>
      <c r="U26" s="28">
        <v>62816.6</v>
      </c>
      <c r="V26" s="13">
        <v>65211.199999999997</v>
      </c>
      <c r="W26" s="28"/>
      <c r="X26" s="28"/>
      <c r="Y26" s="28"/>
      <c r="Z26" s="28"/>
      <c r="AA26" s="99">
        <f t="shared" si="12"/>
        <v>1.1053334149221394</v>
      </c>
      <c r="AB26" s="99">
        <f t="shared" si="12"/>
        <v>1.1283252069860614</v>
      </c>
      <c r="AC26" s="99">
        <f t="shared" si="9"/>
        <v>1.0892149736507359</v>
      </c>
      <c r="AD26" s="100">
        <f t="shared" si="10"/>
        <v>1.0480000667339566</v>
      </c>
      <c r="AE26" s="100"/>
      <c r="AF26" s="100"/>
      <c r="AG26" s="100"/>
      <c r="AH26" s="89" t="s">
        <v>191</v>
      </c>
      <c r="AI26" s="6"/>
      <c r="AJ26" s="6"/>
      <c r="AK26" s="6"/>
    </row>
    <row r="27" spans="1:37" ht="30">
      <c r="A27" s="15" t="s">
        <v>44</v>
      </c>
      <c r="B27" s="9" t="s">
        <v>45</v>
      </c>
      <c r="C27" s="9" t="s">
        <v>38</v>
      </c>
      <c r="D27" s="26"/>
      <c r="E27" s="25"/>
      <c r="F27" s="23">
        <v>63437.4</v>
      </c>
      <c r="G27" s="23">
        <v>63437.4</v>
      </c>
      <c r="H27" s="23">
        <v>87439</v>
      </c>
      <c r="I27" s="23">
        <v>68457.8</v>
      </c>
      <c r="J27" s="23">
        <v>68457.8</v>
      </c>
      <c r="K27" s="23">
        <v>69030.399999999994</v>
      </c>
      <c r="L27" s="23">
        <v>69030.399999999994</v>
      </c>
      <c r="M27" s="23">
        <v>69030.399999999994</v>
      </c>
      <c r="N27" s="23">
        <v>69030.399999999994</v>
      </c>
      <c r="O27" s="23">
        <v>99256.7</v>
      </c>
      <c r="P27" s="28">
        <f>K27/K28*P28</f>
        <v>72343.818868400049</v>
      </c>
      <c r="Q27" s="28">
        <v>72343.8</v>
      </c>
      <c r="R27" s="23">
        <v>99256.7</v>
      </c>
      <c r="S27" s="28">
        <v>72343.8</v>
      </c>
      <c r="T27" s="28">
        <v>74506.399999999994</v>
      </c>
      <c r="U27" s="28">
        <v>72343.8</v>
      </c>
      <c r="V27" s="28">
        <v>74513</v>
      </c>
      <c r="W27" s="28"/>
      <c r="X27" s="28"/>
      <c r="Y27" s="28"/>
      <c r="Z27" s="28"/>
      <c r="AA27" s="99" t="e">
        <f t="shared" si="12"/>
        <v>#DIV/0!</v>
      </c>
      <c r="AB27" s="99" t="e">
        <f t="shared" si="12"/>
        <v>#DIV/0!</v>
      </c>
      <c r="AC27" s="99">
        <f t="shared" si="9"/>
        <v>1.0881656562217239</v>
      </c>
      <c r="AD27" s="100">
        <f t="shared" si="10"/>
        <v>1.0479994157414712</v>
      </c>
      <c r="AE27" s="100"/>
      <c r="AF27" s="100"/>
      <c r="AG27" s="100"/>
      <c r="AH27" s="89" t="s">
        <v>191</v>
      </c>
      <c r="AI27" s="6"/>
      <c r="AJ27" s="6"/>
      <c r="AK27" s="6"/>
    </row>
    <row r="28" spans="1:37" ht="30">
      <c r="A28" s="15" t="s">
        <v>46</v>
      </c>
      <c r="B28" s="9" t="s">
        <v>47</v>
      </c>
      <c r="C28" s="9" t="s">
        <v>38</v>
      </c>
      <c r="D28" s="26">
        <v>48736.4</v>
      </c>
      <c r="E28" s="26">
        <v>53870</v>
      </c>
      <c r="F28" s="23">
        <v>65066.7</v>
      </c>
      <c r="G28" s="23">
        <v>65066.7</v>
      </c>
      <c r="H28" s="23">
        <v>89805</v>
      </c>
      <c r="I28" s="23">
        <v>69434.3</v>
      </c>
      <c r="J28" s="23">
        <v>69434.3</v>
      </c>
      <c r="K28" s="23">
        <v>69832.100000000006</v>
      </c>
      <c r="L28" s="23">
        <v>69832.100000000006</v>
      </c>
      <c r="M28" s="23">
        <v>69832.100000000006</v>
      </c>
      <c r="N28" s="23">
        <v>69832.100000000006</v>
      </c>
      <c r="O28" s="23">
        <v>100093.3</v>
      </c>
      <c r="P28" s="28">
        <v>73184</v>
      </c>
      <c r="Q28" s="28">
        <v>73184</v>
      </c>
      <c r="R28" s="23">
        <v>100093.3</v>
      </c>
      <c r="S28" s="28">
        <v>73184</v>
      </c>
      <c r="T28" s="28">
        <v>74282.7</v>
      </c>
      <c r="U28" s="28">
        <v>73184</v>
      </c>
      <c r="V28" s="13">
        <v>74150.899999999994</v>
      </c>
      <c r="W28" s="28"/>
      <c r="X28" s="28"/>
      <c r="Y28" s="28"/>
      <c r="Z28" s="28"/>
      <c r="AA28" s="99">
        <f t="shared" si="12"/>
        <v>1.1053340008699863</v>
      </c>
      <c r="AB28" s="99">
        <f t="shared" si="12"/>
        <v>1.2078466679042137</v>
      </c>
      <c r="AC28" s="99">
        <f t="shared" si="9"/>
        <v>1.0732386919883752</v>
      </c>
      <c r="AD28" s="100">
        <f t="shared" si="10"/>
        <v>1.0479994157414712</v>
      </c>
      <c r="AE28" s="100"/>
      <c r="AF28" s="100"/>
      <c r="AG28" s="100"/>
      <c r="AH28" s="89" t="s">
        <v>191</v>
      </c>
      <c r="AI28" s="6"/>
      <c r="AJ28" s="6"/>
      <c r="AK28" s="6"/>
    </row>
    <row r="29" spans="1:37" ht="30">
      <c r="A29" s="15" t="s">
        <v>48</v>
      </c>
      <c r="B29" s="9" t="s">
        <v>49</v>
      </c>
      <c r="C29" s="9" t="s">
        <v>38</v>
      </c>
      <c r="D29" s="23">
        <v>40098.400000000001</v>
      </c>
      <c r="E29" s="23">
        <v>42642</v>
      </c>
      <c r="F29" s="23">
        <v>60058</v>
      </c>
      <c r="G29" s="23">
        <v>60058</v>
      </c>
      <c r="H29" s="23" t="s">
        <v>126</v>
      </c>
      <c r="I29" s="23">
        <v>63906</v>
      </c>
      <c r="J29" s="23">
        <f>F29*1.05</f>
        <v>63060.9</v>
      </c>
      <c r="K29" s="23">
        <v>68621.399999999994</v>
      </c>
      <c r="L29" s="23">
        <v>68621.399999999994</v>
      </c>
      <c r="M29" s="23">
        <v>68621.399999999994</v>
      </c>
      <c r="N29" s="23">
        <v>68621.399999999994</v>
      </c>
      <c r="O29" s="28">
        <v>0</v>
      </c>
      <c r="P29" s="28">
        <v>0</v>
      </c>
      <c r="Q29" s="28">
        <v>0</v>
      </c>
      <c r="R29" s="28">
        <v>0</v>
      </c>
      <c r="S29" s="28">
        <v>0</v>
      </c>
      <c r="T29" s="28">
        <v>0</v>
      </c>
      <c r="U29" s="28">
        <v>0</v>
      </c>
      <c r="V29" s="28">
        <v>0</v>
      </c>
      <c r="W29" s="28"/>
      <c r="X29" s="28"/>
      <c r="Y29" s="28"/>
      <c r="Z29" s="28"/>
      <c r="AA29" s="99">
        <f t="shared" si="12"/>
        <v>1.0634339524769068</v>
      </c>
      <c r="AB29" s="99">
        <f t="shared" si="12"/>
        <v>1.4084236199052578</v>
      </c>
      <c r="AC29" s="99">
        <f t="shared" si="9"/>
        <v>1.1425855006826733</v>
      </c>
      <c r="AD29" s="100">
        <f t="shared" si="10"/>
        <v>0</v>
      </c>
      <c r="AE29" s="100"/>
      <c r="AF29" s="100"/>
      <c r="AG29" s="100"/>
      <c r="AH29" s="89" t="s">
        <v>192</v>
      </c>
      <c r="AI29" s="6"/>
      <c r="AJ29" s="6"/>
      <c r="AK29" s="6"/>
    </row>
    <row r="30" spans="1:37" ht="30">
      <c r="A30" s="16" t="s">
        <v>50</v>
      </c>
      <c r="B30" s="9" t="s">
        <v>51</v>
      </c>
      <c r="C30" s="9" t="s">
        <v>38</v>
      </c>
      <c r="D30" s="11"/>
      <c r="E30" s="11">
        <v>34816.9</v>
      </c>
      <c r="F30" s="28">
        <v>41547.9</v>
      </c>
      <c r="G30" s="28">
        <v>41547.9</v>
      </c>
      <c r="H30" s="28" t="s">
        <v>127</v>
      </c>
      <c r="I30" s="28">
        <v>50871</v>
      </c>
      <c r="J30" s="28">
        <v>50871</v>
      </c>
      <c r="K30" s="28">
        <v>52214.5</v>
      </c>
      <c r="L30" s="28">
        <v>52214.5</v>
      </c>
      <c r="M30" s="28">
        <v>52214.5</v>
      </c>
      <c r="N30" s="28">
        <v>52214.5</v>
      </c>
      <c r="O30" s="28">
        <v>57667.9</v>
      </c>
      <c r="P30" s="28">
        <v>57720.800000000003</v>
      </c>
      <c r="Q30" s="28">
        <v>57720.800000000003</v>
      </c>
      <c r="R30" s="28">
        <v>57667.9</v>
      </c>
      <c r="S30" s="28">
        <v>57720.800000000003</v>
      </c>
      <c r="T30" s="28">
        <v>60135.7</v>
      </c>
      <c r="U30" s="28">
        <v>57720.800000000003</v>
      </c>
      <c r="V30" s="13">
        <v>48850.3</v>
      </c>
      <c r="W30" s="28"/>
      <c r="X30" s="28"/>
      <c r="Y30" s="28"/>
      <c r="Z30" s="28"/>
      <c r="AA30" s="99" t="e">
        <f t="shared" si="12"/>
        <v>#DIV/0!</v>
      </c>
      <c r="AB30" s="99">
        <f t="shared" si="12"/>
        <v>1.1933256550698081</v>
      </c>
      <c r="AC30" s="99">
        <f t="shared" si="9"/>
        <v>1.256730183715663</v>
      </c>
      <c r="AD30" s="100">
        <f t="shared" si="10"/>
        <v>1.1054553811680663</v>
      </c>
      <c r="AE30" s="100"/>
      <c r="AF30" s="100"/>
      <c r="AG30" s="100"/>
      <c r="AH30" s="89" t="s">
        <v>191</v>
      </c>
      <c r="AI30" s="6"/>
      <c r="AJ30" s="6"/>
      <c r="AK30" s="6"/>
    </row>
    <row r="31" spans="1:37">
      <c r="A31" s="16" t="s">
        <v>52</v>
      </c>
      <c r="B31" s="107" t="s">
        <v>53</v>
      </c>
      <c r="C31" s="9"/>
      <c r="D31" s="60"/>
      <c r="E31" s="60"/>
      <c r="F31" s="93"/>
      <c r="G31" s="93"/>
      <c r="H31" s="93"/>
      <c r="I31" s="93"/>
      <c r="J31" s="93"/>
      <c r="K31" s="93"/>
      <c r="L31" s="93"/>
      <c r="M31" s="94"/>
      <c r="N31" s="94"/>
      <c r="O31" s="93"/>
      <c r="P31" s="93"/>
      <c r="Q31" s="93"/>
      <c r="R31" s="93"/>
      <c r="S31" s="93"/>
      <c r="T31" s="93"/>
      <c r="U31" s="93"/>
      <c r="V31" s="93"/>
      <c r="W31" s="93"/>
      <c r="X31" s="94"/>
      <c r="Y31" s="94"/>
      <c r="Z31" s="94"/>
      <c r="AA31" s="99"/>
      <c r="AB31" s="99"/>
      <c r="AC31" s="99"/>
      <c r="AD31" s="121"/>
      <c r="AE31" s="121"/>
      <c r="AF31" s="121"/>
      <c r="AG31" s="121"/>
      <c r="AH31" s="108"/>
      <c r="AI31" s="6"/>
      <c r="AJ31" s="6"/>
      <c r="AK31" s="6"/>
    </row>
    <row r="32" spans="1:37" s="4" customFormat="1" ht="52.5" customHeight="1">
      <c r="A32" s="16" t="s">
        <v>54</v>
      </c>
      <c r="B32" s="9" t="s">
        <v>55</v>
      </c>
      <c r="C32" s="122" t="s">
        <v>56</v>
      </c>
      <c r="D32" s="51">
        <f t="shared" ref="D32:E32" si="13">D33*100/10/D10</f>
        <v>379.79852981214265</v>
      </c>
      <c r="E32" s="51">
        <f t="shared" si="13"/>
        <v>413.79614909026679</v>
      </c>
      <c r="F32" s="51">
        <f>F33*100/10/F10</f>
        <v>442.74545376009678</v>
      </c>
      <c r="G32" s="123">
        <f>G33*100/10/G10</f>
        <v>433.24262450866053</v>
      </c>
      <c r="H32" s="51" t="s">
        <v>124</v>
      </c>
      <c r="I32" s="124" t="s">
        <v>141</v>
      </c>
      <c r="J32" s="51">
        <f t="shared" ref="J32" si="14">J33*100/10/J10</f>
        <v>444.4229992711463</v>
      </c>
      <c r="K32" s="51">
        <f>K33*100/10/K10</f>
        <v>552.71497992816387</v>
      </c>
      <c r="L32" s="51">
        <f t="shared" ref="L32:N32" si="15">L33*100/10/L10</f>
        <v>552.71497992816398</v>
      </c>
      <c r="M32" s="51">
        <f t="shared" si="15"/>
        <v>552.71497992816398</v>
      </c>
      <c r="N32" s="123">
        <f t="shared" si="15"/>
        <v>418.33931967039933</v>
      </c>
      <c r="O32" s="71" t="s">
        <v>141</v>
      </c>
      <c r="P32" s="51">
        <f t="shared" ref="P32:Z32" si="16">P33*100/10/P10</f>
        <v>553.04318964444246</v>
      </c>
      <c r="Q32" s="51">
        <f t="shared" si="16"/>
        <v>553.04318964444258</v>
      </c>
      <c r="R32" s="71" t="s">
        <v>141</v>
      </c>
      <c r="S32" s="51">
        <f t="shared" si="16"/>
        <v>553.04318964444258</v>
      </c>
      <c r="T32" s="124" t="s">
        <v>141</v>
      </c>
      <c r="U32" s="51">
        <f t="shared" si="16"/>
        <v>556.73690747093053</v>
      </c>
      <c r="V32" s="51">
        <f t="shared" si="16"/>
        <v>438.58563353550358</v>
      </c>
      <c r="W32" s="51">
        <f t="shared" si="16"/>
        <v>440.61920503104085</v>
      </c>
      <c r="X32" s="51">
        <f t="shared" si="16"/>
        <v>442.26141160689627</v>
      </c>
      <c r="Y32" s="51">
        <f t="shared" si="16"/>
        <v>442.67614338689737</v>
      </c>
      <c r="Z32" s="51">
        <f t="shared" si="16"/>
        <v>446.65674943738799</v>
      </c>
      <c r="AA32" s="99">
        <f>E32/D32</f>
        <v>1.0895148785724373</v>
      </c>
      <c r="AB32" s="99">
        <f>F32/E32</f>
        <v>1.0699603046898218</v>
      </c>
      <c r="AC32" s="99">
        <f t="shared" ref="AC32:AC37" si="17">K32/F32</f>
        <v>1.2483809268601875</v>
      </c>
      <c r="AD32" s="100">
        <f t="shared" ref="AD32:AD37" si="18">P32/K32</f>
        <v>1.0005938136801018</v>
      </c>
      <c r="AE32" s="100">
        <f t="shared" ref="AE32:AE37" si="19">W32/P32</f>
        <v>0.79671753179768789</v>
      </c>
      <c r="AF32" s="100">
        <f t="shared" ref="AF32:AG37" si="20">X32/W32</f>
        <v>1.0037270426642881</v>
      </c>
      <c r="AG32" s="100">
        <f t="shared" si="20"/>
        <v>1.0009377525805252</v>
      </c>
      <c r="AH32" s="101" t="s">
        <v>193</v>
      </c>
      <c r="AI32" s="6"/>
      <c r="AJ32" s="6"/>
      <c r="AK32" s="6"/>
    </row>
    <row r="33" spans="1:37" ht="45" outlineLevel="1">
      <c r="A33" s="17"/>
      <c r="B33" s="125" t="s">
        <v>194</v>
      </c>
      <c r="C33" s="126" t="s">
        <v>108</v>
      </c>
      <c r="D33" s="40">
        <f>229+608</f>
        <v>837</v>
      </c>
      <c r="E33" s="40">
        <f>222+715</f>
        <v>937</v>
      </c>
      <c r="F33" s="40">
        <v>1025</v>
      </c>
      <c r="G33" s="127">
        <f>359+644</f>
        <v>1003</v>
      </c>
      <c r="H33" s="128"/>
      <c r="I33" s="124" t="s">
        <v>141</v>
      </c>
      <c r="J33" s="128">
        <f>F33+25</f>
        <v>1050</v>
      </c>
      <c r="K33" s="128">
        <v>1308</v>
      </c>
      <c r="L33" s="128">
        <v>1308</v>
      </c>
      <c r="M33" s="128">
        <v>1308</v>
      </c>
      <c r="N33" s="127">
        <f>354+636</f>
        <v>990</v>
      </c>
      <c r="O33" s="71" t="s">
        <v>141</v>
      </c>
      <c r="P33" s="128">
        <v>1333</v>
      </c>
      <c r="Q33" s="128">
        <v>1333</v>
      </c>
      <c r="R33" s="71" t="s">
        <v>141</v>
      </c>
      <c r="S33" s="128">
        <v>1333</v>
      </c>
      <c r="T33" s="129" t="s">
        <v>141</v>
      </c>
      <c r="U33" s="128">
        <v>1345</v>
      </c>
      <c r="V33" s="128">
        <f>375+688</f>
        <v>1063</v>
      </c>
      <c r="W33" s="128">
        <f>V33+30</f>
        <v>1093</v>
      </c>
      <c r="X33" s="128">
        <f>W33+28</f>
        <v>1121</v>
      </c>
      <c r="Y33" s="128">
        <f>X33+25</f>
        <v>1146</v>
      </c>
      <c r="Z33" s="128">
        <f>Y33+25</f>
        <v>1171</v>
      </c>
      <c r="AA33" s="99"/>
      <c r="AB33" s="99"/>
      <c r="AC33" s="99">
        <f t="shared" si="17"/>
        <v>1.2760975609756098</v>
      </c>
      <c r="AD33" s="100">
        <f t="shared" si="18"/>
        <v>1.0191131498470949</v>
      </c>
      <c r="AE33" s="100">
        <f t="shared" si="19"/>
        <v>0.81995498874718675</v>
      </c>
      <c r="AF33" s="100">
        <f t="shared" si="20"/>
        <v>1.0256175663311986</v>
      </c>
      <c r="AG33" s="100">
        <f t="shared" si="20"/>
        <v>1.0223015165031222</v>
      </c>
      <c r="AH33" s="101" t="s">
        <v>193</v>
      </c>
      <c r="AI33" s="6"/>
      <c r="AJ33" s="6"/>
      <c r="AK33" s="6"/>
    </row>
    <row r="34" spans="1:37" ht="34.5" customHeight="1" outlineLevel="1">
      <c r="A34" s="17"/>
      <c r="B34" s="125" t="s">
        <v>113</v>
      </c>
      <c r="C34" s="126" t="s">
        <v>108</v>
      </c>
      <c r="D34" s="40">
        <v>671</v>
      </c>
      <c r="E34" s="40">
        <v>697</v>
      </c>
      <c r="F34" s="40">
        <v>675</v>
      </c>
      <c r="G34" s="127">
        <v>644</v>
      </c>
      <c r="H34" s="128"/>
      <c r="I34" s="124" t="s">
        <v>141</v>
      </c>
      <c r="J34" s="128">
        <v>685</v>
      </c>
      <c r="K34" s="128">
        <v>850</v>
      </c>
      <c r="L34" s="128">
        <v>850</v>
      </c>
      <c r="M34" s="128">
        <v>850</v>
      </c>
      <c r="N34" s="127">
        <v>636</v>
      </c>
      <c r="O34" s="71" t="s">
        <v>141</v>
      </c>
      <c r="P34" s="128">
        <v>870</v>
      </c>
      <c r="Q34" s="128">
        <v>870</v>
      </c>
      <c r="R34" s="71" t="s">
        <v>141</v>
      </c>
      <c r="S34" s="128">
        <v>870</v>
      </c>
      <c r="T34" s="129" t="s">
        <v>141</v>
      </c>
      <c r="U34" s="128">
        <v>870</v>
      </c>
      <c r="V34" s="128">
        <v>688</v>
      </c>
      <c r="W34" s="128">
        <f>V34+20</f>
        <v>708</v>
      </c>
      <c r="X34" s="128">
        <f t="shared" ref="X34:Z34" si="21">W34+20</f>
        <v>728</v>
      </c>
      <c r="Y34" s="128">
        <f t="shared" si="21"/>
        <v>748</v>
      </c>
      <c r="Z34" s="128">
        <f t="shared" si="21"/>
        <v>768</v>
      </c>
      <c r="AA34" s="99"/>
      <c r="AB34" s="99"/>
      <c r="AC34" s="99">
        <f t="shared" si="17"/>
        <v>1.2592592592592593</v>
      </c>
      <c r="AD34" s="100">
        <f t="shared" si="18"/>
        <v>1.0235294117647058</v>
      </c>
      <c r="AE34" s="100">
        <f t="shared" si="19"/>
        <v>0.81379310344827582</v>
      </c>
      <c r="AF34" s="100">
        <f t="shared" si="20"/>
        <v>1.0282485875706215</v>
      </c>
      <c r="AG34" s="100">
        <f t="shared" si="20"/>
        <v>1.0274725274725274</v>
      </c>
      <c r="AH34" s="101" t="s">
        <v>193</v>
      </c>
      <c r="AI34" s="6"/>
      <c r="AJ34" s="6"/>
      <c r="AK34" s="6"/>
    </row>
    <row r="35" spans="1:37" ht="33" customHeight="1">
      <c r="A35" s="18"/>
      <c r="B35" s="9" t="s">
        <v>58</v>
      </c>
      <c r="C35" s="122" t="s">
        <v>56</v>
      </c>
      <c r="D35" s="10">
        <f>D34/D10*10</f>
        <v>304.47409020782283</v>
      </c>
      <c r="E35" s="51">
        <f t="shared" ref="E35:P35" si="22">E34/E10*10</f>
        <v>307.80780780780782</v>
      </c>
      <c r="F35" s="51">
        <f t="shared" si="22"/>
        <v>291.56407930542957</v>
      </c>
      <c r="G35" s="123">
        <f t="shared" si="22"/>
        <v>278.17372899658761</v>
      </c>
      <c r="H35" s="51" t="s">
        <v>125</v>
      </c>
      <c r="I35" s="124" t="s">
        <v>141</v>
      </c>
      <c r="J35" s="51">
        <f t="shared" si="22"/>
        <v>289.93309952450971</v>
      </c>
      <c r="K35" s="51">
        <f t="shared" si="22"/>
        <v>359.18022395943376</v>
      </c>
      <c r="L35" s="51">
        <f t="shared" si="22"/>
        <v>359.18022395943376</v>
      </c>
      <c r="M35" s="51">
        <f t="shared" si="22"/>
        <v>359.18022395943376</v>
      </c>
      <c r="N35" s="123">
        <f t="shared" si="22"/>
        <v>268.7513205155293</v>
      </c>
      <c r="O35" s="71" t="s">
        <v>141</v>
      </c>
      <c r="P35" s="51">
        <f t="shared" si="22"/>
        <v>360.95091897274187</v>
      </c>
      <c r="Q35" s="51">
        <f t="shared" ref="Q35" si="23">P35</f>
        <v>360.95091897274187</v>
      </c>
      <c r="R35" s="71" t="s">
        <v>141</v>
      </c>
      <c r="S35" s="51">
        <f t="shared" ref="S35:Z35" si="24">S34/S10*10</f>
        <v>360.95091897274193</v>
      </c>
      <c r="T35" s="124" t="s">
        <v>141</v>
      </c>
      <c r="U35" s="51">
        <f t="shared" si="24"/>
        <v>360.11978401465399</v>
      </c>
      <c r="V35" s="51">
        <f t="shared" si="24"/>
        <v>283.86351446136075</v>
      </c>
      <c r="W35" s="51">
        <f t="shared" si="24"/>
        <v>285.41481899540435</v>
      </c>
      <c r="X35" s="51">
        <f t="shared" si="24"/>
        <v>287.21347694007181</v>
      </c>
      <c r="Y35" s="51">
        <f t="shared" si="24"/>
        <v>288.93695920889985</v>
      </c>
      <c r="Z35" s="51">
        <f t="shared" si="24"/>
        <v>292.93969561734752</v>
      </c>
      <c r="AA35" s="99">
        <f t="shared" ref="AA35:AB37" si="25">E35/D35</f>
        <v>1.0109491011130356</v>
      </c>
      <c r="AB35" s="99">
        <f t="shared" si="25"/>
        <v>0.94722769179227362</v>
      </c>
      <c r="AC35" s="99">
        <f t="shared" si="17"/>
        <v>1.2319083503533113</v>
      </c>
      <c r="AD35" s="100">
        <f t="shared" si="18"/>
        <v>1.0049298232341102</v>
      </c>
      <c r="AE35" s="100">
        <f t="shared" si="19"/>
        <v>0.79073027382140604</v>
      </c>
      <c r="AF35" s="100">
        <f t="shared" si="20"/>
        <v>1.0063019080473758</v>
      </c>
      <c r="AG35" s="100">
        <f t="shared" si="20"/>
        <v>1.0060007012456023</v>
      </c>
      <c r="AH35" s="101" t="s">
        <v>57</v>
      </c>
      <c r="AI35" s="6"/>
      <c r="AJ35" s="6"/>
      <c r="AK35" s="6"/>
    </row>
    <row r="36" spans="1:37" ht="50.25" customHeight="1">
      <c r="A36" s="18" t="s">
        <v>59</v>
      </c>
      <c r="B36" s="9" t="s">
        <v>60</v>
      </c>
      <c r="C36" s="9" t="s">
        <v>19</v>
      </c>
      <c r="D36" s="41">
        <v>0.59399999999999997</v>
      </c>
      <c r="E36" s="41">
        <f t="shared" ref="E36:Z36" si="26">PRODUCT(D36*1.05)</f>
        <v>0.62370000000000003</v>
      </c>
      <c r="F36" s="41">
        <f>PRODUCT(E36*1.05)</f>
        <v>0.65488500000000005</v>
      </c>
      <c r="G36" s="41">
        <f>PRODUCT(E36*1.05)</f>
        <v>0.65488500000000005</v>
      </c>
      <c r="H36" s="42" t="s">
        <v>115</v>
      </c>
      <c r="I36" s="39" t="s">
        <v>141</v>
      </c>
      <c r="J36" s="41">
        <f>PRODUCT(F36*1.05)</f>
        <v>0.68762925000000008</v>
      </c>
      <c r="K36" s="41">
        <f>PRODUCT(F36*1.05)</f>
        <v>0.68762925000000008</v>
      </c>
      <c r="L36" s="41">
        <f>F36*1.05</f>
        <v>0.68762925000000008</v>
      </c>
      <c r="M36" s="41">
        <f>F36*1.05</f>
        <v>0.68762925000000008</v>
      </c>
      <c r="N36" s="41">
        <f>G36*1.05</f>
        <v>0.68762925000000008</v>
      </c>
      <c r="O36" s="71" t="s">
        <v>141</v>
      </c>
      <c r="P36" s="41">
        <f>PRODUCT(K36*1.05)</f>
        <v>0.72201071250000015</v>
      </c>
      <c r="Q36" s="41">
        <f>PRODUCT(K36*1.05)</f>
        <v>0.72201071250000015</v>
      </c>
      <c r="R36" s="71" t="s">
        <v>141</v>
      </c>
      <c r="S36" s="41">
        <f>L36*1.051</f>
        <v>0.72269834175000003</v>
      </c>
      <c r="T36" s="124" t="s">
        <v>141</v>
      </c>
      <c r="U36" s="41">
        <f>M36*1.051</f>
        <v>0.72269834175000003</v>
      </c>
      <c r="V36" s="41">
        <f>N36*1.051</f>
        <v>0.72269834175000003</v>
      </c>
      <c r="W36" s="41">
        <f>PRODUCT(Q36*1.05)</f>
        <v>0.75811124812500019</v>
      </c>
      <c r="X36" s="41">
        <f t="shared" si="26"/>
        <v>0.79601681053125029</v>
      </c>
      <c r="Y36" s="41">
        <f t="shared" si="26"/>
        <v>0.8358176510578128</v>
      </c>
      <c r="Z36" s="41">
        <f t="shared" si="26"/>
        <v>0.87760853361070346</v>
      </c>
      <c r="AA36" s="99">
        <f t="shared" si="25"/>
        <v>1.05</v>
      </c>
      <c r="AB36" s="99">
        <f t="shared" si="25"/>
        <v>1.05</v>
      </c>
      <c r="AC36" s="99">
        <f t="shared" si="17"/>
        <v>1.05</v>
      </c>
      <c r="AD36" s="100">
        <f t="shared" si="18"/>
        <v>1.05</v>
      </c>
      <c r="AE36" s="100">
        <f t="shared" si="19"/>
        <v>1.05</v>
      </c>
      <c r="AF36" s="100">
        <f t="shared" si="20"/>
        <v>1.05</v>
      </c>
      <c r="AG36" s="100">
        <f t="shared" si="20"/>
        <v>1.05</v>
      </c>
      <c r="AH36" s="101" t="s">
        <v>110</v>
      </c>
      <c r="AI36" s="6"/>
      <c r="AJ36" s="6"/>
      <c r="AK36" s="6"/>
    </row>
    <row r="37" spans="1:37" ht="45">
      <c r="A37" s="15" t="s">
        <v>61</v>
      </c>
      <c r="B37" s="9" t="s">
        <v>103</v>
      </c>
      <c r="C37" s="9" t="s">
        <v>31</v>
      </c>
      <c r="D37" s="28">
        <v>1379.9</v>
      </c>
      <c r="E37" s="28">
        <f>PRODUCT(D37*1.055)</f>
        <v>1455.7945</v>
      </c>
      <c r="F37" s="28">
        <f>PRODUCT(E37*1.062)</f>
        <v>1546.0537590000001</v>
      </c>
      <c r="G37" s="28">
        <f>PRODUCT(E37*1.062)</f>
        <v>1546.0537590000001</v>
      </c>
      <c r="H37" s="27" t="s">
        <v>117</v>
      </c>
      <c r="I37" s="39" t="s">
        <v>141</v>
      </c>
      <c r="J37" s="28">
        <f>PRODUCT(F37*1.068)</f>
        <v>1651.1854146120002</v>
      </c>
      <c r="K37" s="28">
        <f>F37*1.067</f>
        <v>1649.639360853</v>
      </c>
      <c r="L37" s="28">
        <f>F37*1.067</f>
        <v>1649.639360853</v>
      </c>
      <c r="M37" s="28">
        <f>F37*1.067</f>
        <v>1649.639360853</v>
      </c>
      <c r="N37" s="28">
        <f>G37*1.067</f>
        <v>1649.639360853</v>
      </c>
      <c r="O37" s="71" t="s">
        <v>141</v>
      </c>
      <c r="P37" s="28">
        <f>PRODUCT(K37*1.051)</f>
        <v>1733.7709682565028</v>
      </c>
      <c r="Q37" s="28">
        <f>K37*1.051</f>
        <v>1733.7709682565028</v>
      </c>
      <c r="R37" s="71" t="s">
        <v>141</v>
      </c>
      <c r="S37" s="28">
        <f>L37*1.051</f>
        <v>1733.7709682565028</v>
      </c>
      <c r="T37" s="124" t="s">
        <v>141</v>
      </c>
      <c r="U37" s="28">
        <f>M37*1.051</f>
        <v>1733.7709682565028</v>
      </c>
      <c r="V37" s="28">
        <f>N37*1.1535</f>
        <v>1902.8590027439354</v>
      </c>
      <c r="W37" s="28">
        <f>V37*1.064</f>
        <v>2024.6419789195475</v>
      </c>
      <c r="X37" s="28">
        <f>W37*1.061</f>
        <v>2148.1451396336397</v>
      </c>
      <c r="Y37" s="28">
        <f>X37*1.052</f>
        <v>2259.8486868945893</v>
      </c>
      <c r="Z37" s="28">
        <f>Y37*1.052</f>
        <v>2377.3608186131082</v>
      </c>
      <c r="AA37" s="99">
        <f t="shared" si="25"/>
        <v>1.0549999999999999</v>
      </c>
      <c r="AB37" s="99">
        <f t="shared" si="25"/>
        <v>1.0620000000000001</v>
      </c>
      <c r="AC37" s="99">
        <f t="shared" si="17"/>
        <v>1.0669999999999999</v>
      </c>
      <c r="AD37" s="100">
        <f t="shared" si="18"/>
        <v>1.0509999999999999</v>
      </c>
      <c r="AE37" s="100">
        <f t="shared" si="19"/>
        <v>1.1677678401522362</v>
      </c>
      <c r="AF37" s="100">
        <f t="shared" si="20"/>
        <v>1.0609999999999999</v>
      </c>
      <c r="AG37" s="100">
        <f t="shared" si="20"/>
        <v>1.052</v>
      </c>
      <c r="AH37" s="101" t="s">
        <v>195</v>
      </c>
      <c r="AI37" s="6"/>
      <c r="AJ37" s="6"/>
      <c r="AK37" s="6"/>
    </row>
    <row r="38" spans="1:37" ht="17.25" customHeight="1">
      <c r="A38" s="15"/>
      <c r="B38" s="9" t="s">
        <v>104</v>
      </c>
      <c r="C38" s="9" t="s">
        <v>31</v>
      </c>
      <c r="D38" s="28"/>
      <c r="E38" s="28"/>
      <c r="F38" s="28"/>
      <c r="G38" s="28"/>
      <c r="H38" s="28"/>
      <c r="I38" s="39" t="s">
        <v>141</v>
      </c>
      <c r="J38" s="28"/>
      <c r="K38" s="28"/>
      <c r="L38" s="28"/>
      <c r="M38" s="28"/>
      <c r="N38" s="28"/>
      <c r="O38" s="71" t="s">
        <v>141</v>
      </c>
      <c r="P38" s="28"/>
      <c r="Q38" s="28"/>
      <c r="R38" s="71" t="s">
        <v>141</v>
      </c>
      <c r="S38" s="28"/>
      <c r="T38" s="124" t="s">
        <v>141</v>
      </c>
      <c r="U38" s="28"/>
      <c r="V38" s="28"/>
      <c r="W38" s="70"/>
      <c r="X38" s="28"/>
      <c r="Y38" s="28"/>
      <c r="Z38" s="28"/>
      <c r="AA38" s="99"/>
      <c r="AB38" s="99"/>
      <c r="AC38" s="99"/>
      <c r="AD38" s="121"/>
      <c r="AE38" s="121"/>
      <c r="AF38" s="121"/>
      <c r="AG38" s="121"/>
      <c r="AH38" s="108"/>
      <c r="AI38" s="6"/>
      <c r="AJ38" s="6"/>
      <c r="AK38" s="6"/>
    </row>
    <row r="39" spans="1:37" ht="21.75" customHeight="1">
      <c r="A39" s="15"/>
      <c r="B39" s="9" t="s">
        <v>105</v>
      </c>
      <c r="C39" s="9" t="s">
        <v>31</v>
      </c>
      <c r="D39" s="28"/>
      <c r="E39" s="28"/>
      <c r="F39" s="28"/>
      <c r="G39" s="28"/>
      <c r="H39" s="28"/>
      <c r="I39" s="39" t="s">
        <v>141</v>
      </c>
      <c r="J39" s="28"/>
      <c r="K39" s="28"/>
      <c r="L39" s="28"/>
      <c r="M39" s="28"/>
      <c r="N39" s="28"/>
      <c r="O39" s="71" t="s">
        <v>141</v>
      </c>
      <c r="P39" s="28"/>
      <c r="Q39" s="28"/>
      <c r="R39" s="71" t="s">
        <v>141</v>
      </c>
      <c r="S39" s="28"/>
      <c r="T39" s="124" t="s">
        <v>141</v>
      </c>
      <c r="U39" s="28"/>
      <c r="V39" s="28"/>
      <c r="W39" s="28"/>
      <c r="X39" s="28"/>
      <c r="Y39" s="28"/>
      <c r="Z39" s="28"/>
      <c r="AA39" s="99"/>
      <c r="AB39" s="99"/>
      <c r="AC39" s="99"/>
      <c r="AD39" s="121"/>
      <c r="AE39" s="121"/>
      <c r="AF39" s="121"/>
      <c r="AG39" s="121"/>
      <c r="AH39" s="108"/>
      <c r="AI39" s="6"/>
      <c r="AJ39" s="6"/>
      <c r="AK39" s="6"/>
    </row>
    <row r="40" spans="1:37">
      <c r="A40" s="15" t="s">
        <v>62</v>
      </c>
      <c r="B40" s="107" t="s">
        <v>63</v>
      </c>
      <c r="C40" s="15"/>
      <c r="D40" s="55"/>
      <c r="E40" s="56"/>
      <c r="F40" s="56"/>
      <c r="G40" s="56"/>
      <c r="H40" s="56"/>
      <c r="I40" s="56"/>
      <c r="J40" s="56"/>
      <c r="K40" s="56"/>
      <c r="L40" s="56"/>
      <c r="M40" s="56"/>
      <c r="N40" s="56"/>
      <c r="O40" s="56"/>
      <c r="P40" s="56"/>
      <c r="Q40" s="56"/>
      <c r="R40" s="56"/>
      <c r="S40" s="56"/>
      <c r="T40" s="56"/>
      <c r="U40" s="56"/>
      <c r="V40" s="56"/>
      <c r="W40" s="56"/>
      <c r="X40" s="56"/>
      <c r="Y40" s="56"/>
      <c r="Z40" s="56"/>
      <c r="AA40" s="99"/>
      <c r="AB40" s="99"/>
      <c r="AC40" s="99"/>
      <c r="AD40" s="121"/>
      <c r="AE40" s="121"/>
      <c r="AF40" s="121"/>
      <c r="AG40" s="121"/>
      <c r="AH40" s="101"/>
      <c r="AI40" s="6"/>
      <c r="AJ40" s="6"/>
      <c r="AK40" s="6"/>
    </row>
    <row r="41" spans="1:37" ht="45">
      <c r="A41" s="15" t="s">
        <v>64</v>
      </c>
      <c r="B41" s="9" t="s">
        <v>65</v>
      </c>
      <c r="C41" s="15" t="s">
        <v>66</v>
      </c>
      <c r="D41" s="23">
        <v>1613.5</v>
      </c>
      <c r="E41" s="23">
        <v>1791.7</v>
      </c>
      <c r="F41" s="43">
        <v>1921.3</v>
      </c>
      <c r="G41" s="43">
        <v>1921.3</v>
      </c>
      <c r="H41" s="43" t="s">
        <v>129</v>
      </c>
      <c r="I41" s="39" t="s">
        <v>141</v>
      </c>
      <c r="J41" s="43">
        <f>PRODUCT(F41*1.063)</f>
        <v>2042.3418999999999</v>
      </c>
      <c r="K41" s="28">
        <f>F41*1.067</f>
        <v>2050.0270999999998</v>
      </c>
      <c r="L41" s="69">
        <v>2293.6</v>
      </c>
      <c r="M41" s="69">
        <v>2293.6</v>
      </c>
      <c r="N41" s="69">
        <v>2293.6</v>
      </c>
      <c r="O41" s="71" t="s">
        <v>141</v>
      </c>
      <c r="P41" s="28">
        <f t="shared" ref="P41:P43" si="27">PRODUCT(K41*1.051)</f>
        <v>2154.5784820999997</v>
      </c>
      <c r="Q41" s="28">
        <f>L41*1.156</f>
        <v>2651.4015999999997</v>
      </c>
      <c r="R41" s="71" t="s">
        <v>141</v>
      </c>
      <c r="S41" s="28">
        <f>L41*1.156</f>
        <v>2651.4015999999997</v>
      </c>
      <c r="T41" s="124" t="s">
        <v>141</v>
      </c>
      <c r="U41" s="28">
        <f>M41*1.156</f>
        <v>2651.4015999999997</v>
      </c>
      <c r="V41" s="28">
        <v>2286.98</v>
      </c>
      <c r="W41" s="28">
        <f>V41*1.064</f>
        <v>2433.34672</v>
      </c>
      <c r="X41" s="28">
        <f>W41*1.061</f>
        <v>2581.78086992</v>
      </c>
      <c r="Y41" s="28">
        <f>X41*1.052</f>
        <v>2716.0334751558403</v>
      </c>
      <c r="Z41" s="28">
        <f t="shared" ref="Z41:AG41" si="28">Y41*1.052</f>
        <v>2857.2672158639439</v>
      </c>
      <c r="AA41" s="28">
        <f t="shared" si="28"/>
        <v>3005.8451110888691</v>
      </c>
      <c r="AB41" s="28">
        <f t="shared" si="28"/>
        <v>3162.1490568654904</v>
      </c>
      <c r="AC41" s="28">
        <f t="shared" si="28"/>
        <v>3326.5808078224959</v>
      </c>
      <c r="AD41" s="28">
        <f t="shared" si="28"/>
        <v>3499.5630098292659</v>
      </c>
      <c r="AE41" s="28">
        <f t="shared" si="28"/>
        <v>3681.5402863403879</v>
      </c>
      <c r="AF41" s="28">
        <f t="shared" si="28"/>
        <v>3872.9803812300884</v>
      </c>
      <c r="AG41" s="28">
        <f t="shared" si="28"/>
        <v>4074.375361054053</v>
      </c>
      <c r="AH41" s="101" t="s">
        <v>196</v>
      </c>
      <c r="AI41" s="6"/>
      <c r="AJ41" s="6"/>
      <c r="AK41" s="6"/>
    </row>
    <row r="42" spans="1:37" ht="45">
      <c r="A42" s="15" t="s">
        <v>67</v>
      </c>
      <c r="B42" s="9" t="s">
        <v>68</v>
      </c>
      <c r="C42" s="15" t="s">
        <v>66</v>
      </c>
      <c r="D42" s="11">
        <v>345.5</v>
      </c>
      <c r="E42" s="11">
        <v>379.61</v>
      </c>
      <c r="F42" s="11">
        <v>386.4</v>
      </c>
      <c r="G42" s="11">
        <v>386.4</v>
      </c>
      <c r="H42" s="11" t="s">
        <v>121</v>
      </c>
      <c r="I42" s="39" t="s">
        <v>141</v>
      </c>
      <c r="J42" s="11">
        <f>PRODUCT(F42*1.073)</f>
        <v>414.60719999999998</v>
      </c>
      <c r="K42" s="11">
        <v>376.7</v>
      </c>
      <c r="L42" s="11">
        <v>376.72680000000003</v>
      </c>
      <c r="M42" s="11">
        <v>376.72680000000003</v>
      </c>
      <c r="N42" s="11">
        <v>376.72680000000003</v>
      </c>
      <c r="O42" s="71" t="s">
        <v>141</v>
      </c>
      <c r="P42" s="28">
        <f t="shared" si="27"/>
        <v>395.91169999999994</v>
      </c>
      <c r="Q42" s="28">
        <f>L42*1.156</f>
        <v>435.49618079999999</v>
      </c>
      <c r="R42" s="71" t="s">
        <v>141</v>
      </c>
      <c r="S42" s="28">
        <f>L42*1.156</f>
        <v>435.49618079999999</v>
      </c>
      <c r="T42" s="124" t="s">
        <v>141</v>
      </c>
      <c r="U42" s="28">
        <f>M42*1.156</f>
        <v>435.49618079999999</v>
      </c>
      <c r="V42" s="28">
        <v>486.51119999999997</v>
      </c>
      <c r="W42" s="28">
        <f>V42*1.064</f>
        <v>517.64791679999996</v>
      </c>
      <c r="X42" s="28">
        <f>W42*1.061</f>
        <v>549.22443972479994</v>
      </c>
      <c r="Y42" s="28">
        <f>X42*1.052</f>
        <v>577.7841105904896</v>
      </c>
      <c r="Z42" s="28">
        <f>Y42*1.052</f>
        <v>607.82888434119513</v>
      </c>
      <c r="AA42" s="99">
        <f t="shared" ref="AA42:AB43" si="29">E42/D42</f>
        <v>1.098726483357453</v>
      </c>
      <c r="AB42" s="99">
        <f t="shared" si="29"/>
        <v>1.0178867785358656</v>
      </c>
      <c r="AC42" s="99">
        <f>K42/F42</f>
        <v>0.97489648033126297</v>
      </c>
      <c r="AD42" s="100">
        <f>P42/K42</f>
        <v>1.0509999999999999</v>
      </c>
      <c r="AE42" s="100">
        <f>W42/P42</f>
        <v>1.3074832514421777</v>
      </c>
      <c r="AF42" s="100">
        <f t="shared" ref="AF42:AG43" si="30">X42/W42</f>
        <v>1.0609999999999999</v>
      </c>
      <c r="AG42" s="100">
        <f t="shared" si="30"/>
        <v>1.052</v>
      </c>
      <c r="AH42" s="101" t="s">
        <v>197</v>
      </c>
      <c r="AI42" s="6"/>
      <c r="AJ42" s="6"/>
      <c r="AK42" s="6"/>
    </row>
    <row r="43" spans="1:37" ht="45">
      <c r="A43" s="15" t="s">
        <v>69</v>
      </c>
      <c r="B43" s="9" t="s">
        <v>70</v>
      </c>
      <c r="C43" s="15" t="s">
        <v>66</v>
      </c>
      <c r="D43" s="11">
        <v>844.4</v>
      </c>
      <c r="E43" s="11">
        <v>890.8</v>
      </c>
      <c r="F43" s="11">
        <f>PRODUCT(E43*1.074)</f>
        <v>956.7192</v>
      </c>
      <c r="G43" s="11">
        <f>PRODUCT(E43*1.074)</f>
        <v>956.7192</v>
      </c>
      <c r="H43" s="11" t="s">
        <v>122</v>
      </c>
      <c r="I43" s="39" t="s">
        <v>141</v>
      </c>
      <c r="J43" s="11">
        <f>PRODUCT(F43*1.073)</f>
        <v>1026.5597015999999</v>
      </c>
      <c r="K43" s="28">
        <f>F43*1.067</f>
        <v>1020.8193864</v>
      </c>
      <c r="L43" s="28">
        <f>F43*1.067</f>
        <v>1020.8193864</v>
      </c>
      <c r="M43" s="28">
        <f>F43*1.067</f>
        <v>1020.8193864</v>
      </c>
      <c r="N43" s="28">
        <f>G43*1.067</f>
        <v>1020.8193864</v>
      </c>
      <c r="O43" s="71" t="s">
        <v>141</v>
      </c>
      <c r="P43" s="28">
        <f t="shared" si="27"/>
        <v>1072.8811751064</v>
      </c>
      <c r="Q43" s="28">
        <f>K43*1.156</f>
        <v>1180.0672106784</v>
      </c>
      <c r="R43" s="71" t="s">
        <v>141</v>
      </c>
      <c r="S43" s="28">
        <f>L43*1.156</f>
        <v>1180.0672106784</v>
      </c>
      <c r="T43" s="124" t="s">
        <v>141</v>
      </c>
      <c r="U43" s="28">
        <f>M43*1.156</f>
        <v>1180.0672106784</v>
      </c>
      <c r="V43" s="28">
        <f>N43*1.1166</f>
        <v>1139.8469268542401</v>
      </c>
      <c r="W43" s="28">
        <f>V43*1.064</f>
        <v>1212.7971301729115</v>
      </c>
      <c r="X43" s="28">
        <f>W43*1.061</f>
        <v>1286.7777551134591</v>
      </c>
      <c r="Y43" s="28">
        <f>X43*1.052</f>
        <v>1353.6901983793591</v>
      </c>
      <c r="Z43" s="28">
        <f>Y43*1.052</f>
        <v>1424.0820886950858</v>
      </c>
      <c r="AA43" s="99">
        <f t="shared" si="29"/>
        <v>1.0549502605400285</v>
      </c>
      <c r="AB43" s="99">
        <f t="shared" si="29"/>
        <v>1.0740000000000001</v>
      </c>
      <c r="AC43" s="99">
        <f>K43/F43</f>
        <v>1.0669999999999999</v>
      </c>
      <c r="AD43" s="100">
        <f>P43/K43</f>
        <v>1.0509999999999999</v>
      </c>
      <c r="AE43" s="100">
        <f>W43/P43</f>
        <v>1.1304114176974311</v>
      </c>
      <c r="AF43" s="100">
        <f t="shared" si="30"/>
        <v>1.0609999999999999</v>
      </c>
      <c r="AG43" s="100">
        <f t="shared" si="30"/>
        <v>1.052</v>
      </c>
      <c r="AH43" s="101" t="s">
        <v>198</v>
      </c>
      <c r="AI43" s="6"/>
      <c r="AJ43" s="6"/>
      <c r="AK43" s="6"/>
    </row>
    <row r="44" spans="1:37">
      <c r="A44" s="15" t="s">
        <v>71</v>
      </c>
      <c r="B44" s="107" t="s">
        <v>72</v>
      </c>
      <c r="C44" s="15"/>
      <c r="D44" s="59"/>
      <c r="E44" s="61"/>
      <c r="F44" s="130"/>
      <c r="G44" s="130"/>
      <c r="H44" s="130"/>
      <c r="I44" s="130"/>
      <c r="J44" s="130"/>
      <c r="K44" s="130"/>
      <c r="L44" s="130"/>
      <c r="M44" s="130"/>
      <c r="N44" s="130"/>
      <c r="O44" s="130"/>
      <c r="P44" s="130"/>
      <c r="Q44" s="130"/>
      <c r="R44" s="130"/>
      <c r="S44" s="130"/>
      <c r="T44" s="130"/>
      <c r="U44" s="28"/>
      <c r="V44" s="28"/>
      <c r="W44" s="70"/>
      <c r="X44" s="130"/>
      <c r="Y44" s="130"/>
      <c r="Z44" s="130"/>
      <c r="AA44" s="99"/>
      <c r="AB44" s="99"/>
      <c r="AC44" s="99"/>
      <c r="AD44" s="100"/>
      <c r="AE44" s="121"/>
      <c r="AF44" s="121"/>
      <c r="AG44" s="121"/>
      <c r="AH44" s="108"/>
      <c r="AI44" s="6"/>
      <c r="AJ44" s="6"/>
      <c r="AK44" s="6"/>
    </row>
    <row r="45" spans="1:37" ht="51">
      <c r="A45" s="15" t="s">
        <v>73</v>
      </c>
      <c r="B45" s="9" t="s">
        <v>74</v>
      </c>
      <c r="C45" s="15" t="s">
        <v>75</v>
      </c>
      <c r="D45" s="29">
        <v>2057</v>
      </c>
      <c r="E45" s="29">
        <v>2118</v>
      </c>
      <c r="F45" s="51">
        <v>2170</v>
      </c>
      <c r="G45" s="51">
        <v>2170</v>
      </c>
      <c r="H45" s="51" t="s">
        <v>130</v>
      </c>
      <c r="I45" s="51">
        <v>2168</v>
      </c>
      <c r="J45" s="51">
        <v>2168</v>
      </c>
      <c r="K45" s="51">
        <v>2281</v>
      </c>
      <c r="L45" s="51">
        <v>2281</v>
      </c>
      <c r="M45" s="51">
        <v>2281</v>
      </c>
      <c r="N45" s="123">
        <v>2277</v>
      </c>
      <c r="O45" s="71" t="s">
        <v>141</v>
      </c>
      <c r="P45" s="51">
        <v>2372</v>
      </c>
      <c r="Q45" s="51">
        <v>2372</v>
      </c>
      <c r="R45" s="71" t="s">
        <v>141</v>
      </c>
      <c r="S45" s="51">
        <v>2372</v>
      </c>
      <c r="T45" s="71" t="s">
        <v>141</v>
      </c>
      <c r="U45" s="51">
        <v>2372</v>
      </c>
      <c r="V45" s="131">
        <v>2285</v>
      </c>
      <c r="W45" s="51"/>
      <c r="X45" s="51"/>
      <c r="Y45" s="51"/>
      <c r="Z45" s="51"/>
      <c r="AA45" s="99">
        <f t="shared" ref="AA45:AB49" si="31">E45/D45</f>
        <v>1.0296548371414682</v>
      </c>
      <c r="AB45" s="99">
        <f t="shared" si="31"/>
        <v>1.024551463644948</v>
      </c>
      <c r="AC45" s="99">
        <f>K45/F45</f>
        <v>1.0511520737327189</v>
      </c>
      <c r="AD45" s="100">
        <f>P45/K45</f>
        <v>1.0398947829899168</v>
      </c>
      <c r="AE45" s="100">
        <f>W45/P45</f>
        <v>0</v>
      </c>
      <c r="AF45" s="100" t="e">
        <f t="shared" ref="AF45:AG45" si="32">X45/W45</f>
        <v>#DIV/0!</v>
      </c>
      <c r="AG45" s="100" t="e">
        <f t="shared" si="32"/>
        <v>#DIV/0!</v>
      </c>
      <c r="AH45" s="132" t="s">
        <v>199</v>
      </c>
      <c r="AI45" s="6"/>
      <c r="AJ45" s="6"/>
      <c r="AK45" s="6"/>
    </row>
    <row r="46" spans="1:37" ht="75">
      <c r="A46" s="15" t="s">
        <v>76</v>
      </c>
      <c r="B46" s="125" t="s">
        <v>77</v>
      </c>
      <c r="C46" s="15" t="s">
        <v>75</v>
      </c>
      <c r="D46" s="29">
        <v>1585</v>
      </c>
      <c r="E46" s="29">
        <v>1603</v>
      </c>
      <c r="F46" s="51">
        <v>1642</v>
      </c>
      <c r="G46" s="51">
        <v>1642</v>
      </c>
      <c r="H46" s="51" t="s">
        <v>131</v>
      </c>
      <c r="I46" s="51">
        <v>1684</v>
      </c>
      <c r="J46" s="51">
        <v>1711</v>
      </c>
      <c r="K46" s="51">
        <v>1762</v>
      </c>
      <c r="L46" s="51">
        <v>1762</v>
      </c>
      <c r="M46" s="51">
        <v>1762</v>
      </c>
      <c r="N46" s="51">
        <v>1762</v>
      </c>
      <c r="O46" s="51">
        <v>1845</v>
      </c>
      <c r="P46" s="51">
        <v>1982</v>
      </c>
      <c r="Q46" s="51">
        <v>1982</v>
      </c>
      <c r="R46" s="51">
        <v>1845</v>
      </c>
      <c r="S46" s="51">
        <v>1982</v>
      </c>
      <c r="T46" s="51">
        <v>1743</v>
      </c>
      <c r="U46" s="51">
        <v>1928</v>
      </c>
      <c r="V46" s="51">
        <v>1970</v>
      </c>
      <c r="W46" s="51"/>
      <c r="X46" s="51"/>
      <c r="Y46" s="51"/>
      <c r="Z46" s="51"/>
      <c r="AA46" s="99">
        <f t="shared" si="31"/>
        <v>1.0113564668769717</v>
      </c>
      <c r="AB46" s="99">
        <f t="shared" si="31"/>
        <v>1.0243293824079851</v>
      </c>
      <c r="AC46" s="99">
        <f>K46/F46</f>
        <v>1.0730816077953715</v>
      </c>
      <c r="AD46" s="100">
        <f>P46/K46</f>
        <v>1.1248581157775255</v>
      </c>
      <c r="AE46" s="100"/>
      <c r="AF46" s="100"/>
      <c r="AG46" s="100"/>
      <c r="AH46" s="132" t="s">
        <v>200</v>
      </c>
      <c r="AI46" s="6"/>
      <c r="AJ46" s="6"/>
      <c r="AK46" s="6"/>
    </row>
    <row r="47" spans="1:37" ht="63.75">
      <c r="A47" s="15" t="s">
        <v>78</v>
      </c>
      <c r="B47" s="9" t="s">
        <v>79</v>
      </c>
      <c r="C47" s="15" t="s">
        <v>75</v>
      </c>
      <c r="D47" s="29">
        <v>635</v>
      </c>
      <c r="E47" s="29">
        <v>650</v>
      </c>
      <c r="F47" s="51">
        <v>728</v>
      </c>
      <c r="G47" s="51">
        <v>728</v>
      </c>
      <c r="H47" s="51" t="s">
        <v>132</v>
      </c>
      <c r="I47" s="51">
        <v>640</v>
      </c>
      <c r="J47" s="51">
        <v>650</v>
      </c>
      <c r="K47" s="51">
        <v>791</v>
      </c>
      <c r="L47" s="51">
        <v>791</v>
      </c>
      <c r="M47" s="51">
        <v>791</v>
      </c>
      <c r="N47" s="51">
        <v>791</v>
      </c>
      <c r="O47" s="51">
        <v>861</v>
      </c>
      <c r="P47" s="51">
        <v>621</v>
      </c>
      <c r="Q47" s="51">
        <v>621</v>
      </c>
      <c r="R47" s="51">
        <v>861</v>
      </c>
      <c r="S47" s="51">
        <v>621</v>
      </c>
      <c r="T47" s="51">
        <v>879</v>
      </c>
      <c r="U47" s="51">
        <v>702</v>
      </c>
      <c r="V47" s="51">
        <v>700</v>
      </c>
      <c r="W47" s="51"/>
      <c r="X47" s="51"/>
      <c r="Y47" s="51"/>
      <c r="Z47" s="51"/>
      <c r="AA47" s="99">
        <f t="shared" si="31"/>
        <v>1.0236220472440944</v>
      </c>
      <c r="AB47" s="99">
        <f t="shared" si="31"/>
        <v>1.1200000000000001</v>
      </c>
      <c r="AC47" s="99">
        <f>K47/F47</f>
        <v>1.0865384615384615</v>
      </c>
      <c r="AD47" s="100">
        <f>P47/K47</f>
        <v>0.78508217446270545</v>
      </c>
      <c r="AE47" s="100"/>
      <c r="AF47" s="100"/>
      <c r="AG47" s="100"/>
      <c r="AH47" s="132" t="s">
        <v>201</v>
      </c>
      <c r="AI47" s="6"/>
      <c r="AJ47" s="6"/>
      <c r="AK47" s="6"/>
    </row>
    <row r="48" spans="1:37" ht="127.5">
      <c r="A48" s="15" t="s">
        <v>80</v>
      </c>
      <c r="B48" s="9" t="s">
        <v>81</v>
      </c>
      <c r="C48" s="15" t="s">
        <v>75</v>
      </c>
      <c r="D48" s="33">
        <v>2851</v>
      </c>
      <c r="E48" s="29">
        <v>2945</v>
      </c>
      <c r="F48" s="51">
        <v>2998</v>
      </c>
      <c r="G48" s="51">
        <v>2998</v>
      </c>
      <c r="H48" s="51" t="s">
        <v>133</v>
      </c>
      <c r="I48" s="51">
        <v>3023</v>
      </c>
      <c r="J48" s="51">
        <v>3050</v>
      </c>
      <c r="K48" s="51">
        <v>3098</v>
      </c>
      <c r="L48" s="51">
        <v>3098</v>
      </c>
      <c r="M48" s="51">
        <v>3098</v>
      </c>
      <c r="N48" s="51">
        <v>3098</v>
      </c>
      <c r="O48" s="51">
        <v>3165</v>
      </c>
      <c r="P48" s="133" t="s">
        <v>152</v>
      </c>
      <c r="Q48" s="51">
        <v>3235</v>
      </c>
      <c r="R48" s="51">
        <v>3165</v>
      </c>
      <c r="S48" s="51">
        <v>3287</v>
      </c>
      <c r="T48" s="51">
        <v>3192</v>
      </c>
      <c r="U48" s="51">
        <v>3219</v>
      </c>
      <c r="V48" s="51">
        <v>3299</v>
      </c>
      <c r="W48" s="124"/>
      <c r="X48" s="51"/>
      <c r="Y48" s="51"/>
      <c r="Z48" s="51"/>
      <c r="AA48" s="99">
        <f t="shared" si="31"/>
        <v>1.0329708874079271</v>
      </c>
      <c r="AB48" s="99">
        <f t="shared" si="31"/>
        <v>1.0179966044142614</v>
      </c>
      <c r="AC48" s="99">
        <f>K48/F48</f>
        <v>1.0333555703802535</v>
      </c>
      <c r="AD48" s="100">
        <f>P48/K48</f>
        <v>1.0503550677856681</v>
      </c>
      <c r="AE48" s="100"/>
      <c r="AF48" s="100"/>
      <c r="AG48" s="100"/>
      <c r="AH48" s="132" t="s">
        <v>202</v>
      </c>
      <c r="AI48" s="6"/>
      <c r="AJ48" s="6"/>
      <c r="AK48" s="6"/>
    </row>
    <row r="49" spans="1:73" ht="102.75">
      <c r="A49" s="15" t="s">
        <v>82</v>
      </c>
      <c r="B49" s="9" t="s">
        <v>83</v>
      </c>
      <c r="C49" s="15" t="s">
        <v>75</v>
      </c>
      <c r="D49" s="29">
        <v>314</v>
      </c>
      <c r="E49" s="29">
        <v>321</v>
      </c>
      <c r="F49" s="51">
        <v>304</v>
      </c>
      <c r="G49" s="51">
        <v>304</v>
      </c>
      <c r="H49" s="51" t="s">
        <v>134</v>
      </c>
      <c r="I49" s="51">
        <v>273</v>
      </c>
      <c r="J49" s="51">
        <v>285</v>
      </c>
      <c r="K49" s="51">
        <v>309</v>
      </c>
      <c r="L49" s="51">
        <v>309</v>
      </c>
      <c r="M49" s="51">
        <v>309</v>
      </c>
      <c r="N49" s="51">
        <v>309</v>
      </c>
      <c r="O49" s="51">
        <v>309</v>
      </c>
      <c r="P49" s="133" t="s">
        <v>153</v>
      </c>
      <c r="Q49" s="51">
        <v>449</v>
      </c>
      <c r="R49" s="51">
        <v>309</v>
      </c>
      <c r="S49" s="51">
        <v>449</v>
      </c>
      <c r="T49" s="51">
        <v>323</v>
      </c>
      <c r="U49" s="51">
        <v>350</v>
      </c>
      <c r="V49" s="51">
        <v>468</v>
      </c>
      <c r="W49" s="124"/>
      <c r="X49" s="51"/>
      <c r="Y49" s="51"/>
      <c r="Z49" s="51"/>
      <c r="AA49" s="99">
        <f t="shared" si="31"/>
        <v>1.0222929936305734</v>
      </c>
      <c r="AB49" s="99">
        <f t="shared" si="31"/>
        <v>0.9470404984423676</v>
      </c>
      <c r="AC49" s="99">
        <f>K49/F49</f>
        <v>1.0164473684210527</v>
      </c>
      <c r="AD49" s="100">
        <f>P49/K49</f>
        <v>1.3171521035598706</v>
      </c>
      <c r="AE49" s="100"/>
      <c r="AF49" s="100"/>
      <c r="AG49" s="100"/>
      <c r="AH49" s="101" t="s">
        <v>203</v>
      </c>
      <c r="AI49" s="6"/>
      <c r="AJ49" s="6"/>
      <c r="AK49" s="6"/>
    </row>
    <row r="50" spans="1:73">
      <c r="A50" s="15" t="s">
        <v>84</v>
      </c>
      <c r="B50" s="107" t="s">
        <v>85</v>
      </c>
      <c r="C50" s="15"/>
      <c r="D50" s="57"/>
      <c r="E50" s="58"/>
      <c r="F50" s="94"/>
      <c r="G50" s="94"/>
      <c r="H50" s="94"/>
      <c r="I50" s="94"/>
      <c r="J50" s="94"/>
      <c r="K50" s="94"/>
      <c r="L50" s="94"/>
      <c r="M50" s="94"/>
      <c r="N50" s="94"/>
      <c r="O50" s="94"/>
      <c r="P50" s="94"/>
      <c r="Q50" s="94"/>
      <c r="R50" s="94"/>
      <c r="S50" s="94"/>
      <c r="T50" s="94"/>
      <c r="U50" s="94"/>
      <c r="V50" s="94"/>
      <c r="W50" s="94"/>
      <c r="X50" s="94"/>
      <c r="Y50" s="94"/>
      <c r="Z50" s="94"/>
      <c r="AA50" s="99"/>
      <c r="AB50" s="99"/>
      <c r="AC50" s="99"/>
      <c r="AD50" s="121"/>
      <c r="AE50" s="121"/>
      <c r="AF50" s="121"/>
      <c r="AG50" s="121"/>
      <c r="AH50" s="108"/>
      <c r="AI50" s="6"/>
      <c r="AJ50" s="6"/>
      <c r="AK50" s="6"/>
    </row>
    <row r="51" spans="1:73" ht="64.5">
      <c r="A51" s="15" t="s">
        <v>86</v>
      </c>
      <c r="B51" s="9" t="s">
        <v>87</v>
      </c>
      <c r="C51" s="15" t="s">
        <v>88</v>
      </c>
      <c r="D51" s="26">
        <f>42.6572*100</f>
        <v>4265.72</v>
      </c>
      <c r="E51" s="26">
        <f>42.6572*100</f>
        <v>4265.72</v>
      </c>
      <c r="F51" s="23">
        <f t="shared" ref="F51:J51" si="33">42.6572*100</f>
        <v>4265.72</v>
      </c>
      <c r="G51" s="23">
        <f t="shared" si="33"/>
        <v>4265.72</v>
      </c>
      <c r="H51" s="23">
        <v>4265.7</v>
      </c>
      <c r="I51" s="23">
        <v>4265.7</v>
      </c>
      <c r="J51" s="23">
        <f t="shared" si="33"/>
        <v>4265.72</v>
      </c>
      <c r="K51" s="23">
        <v>4498</v>
      </c>
      <c r="L51" s="23">
        <v>4498</v>
      </c>
      <c r="M51" s="23">
        <v>4498</v>
      </c>
      <c r="N51" s="23">
        <v>4498</v>
      </c>
      <c r="O51" s="23">
        <v>4498</v>
      </c>
      <c r="P51" s="134">
        <f>K51</f>
        <v>4498</v>
      </c>
      <c r="Q51" s="134">
        <v>4498</v>
      </c>
      <c r="R51" s="23">
        <v>4498</v>
      </c>
      <c r="S51" s="23">
        <v>4498</v>
      </c>
      <c r="T51" s="23">
        <v>4498</v>
      </c>
      <c r="U51" s="23">
        <v>4498</v>
      </c>
      <c r="V51" s="23">
        <v>4498</v>
      </c>
      <c r="W51" s="120">
        <f>4497.6455+15.1842</f>
        <v>4512.8296999999993</v>
      </c>
      <c r="X51" s="120">
        <f>W51</f>
        <v>4512.8296999999993</v>
      </c>
      <c r="Y51" s="120">
        <f>X51</f>
        <v>4512.8296999999993</v>
      </c>
      <c r="Z51" s="120">
        <f>Y51</f>
        <v>4512.8296999999993</v>
      </c>
      <c r="AA51" s="99">
        <f t="shared" ref="AA51:AB53" si="34">E51/D51</f>
        <v>1</v>
      </c>
      <c r="AB51" s="99">
        <f t="shared" si="34"/>
        <v>1</v>
      </c>
      <c r="AC51" s="99">
        <f>K51/F51</f>
        <v>1.0544527066942977</v>
      </c>
      <c r="AD51" s="100">
        <f>P51/K51</f>
        <v>1</v>
      </c>
      <c r="AE51" s="100">
        <f>W51/P51</f>
        <v>1.0032969542018673</v>
      </c>
      <c r="AF51" s="100">
        <f t="shared" ref="AF51:AG53" si="35">X51/W51</f>
        <v>1</v>
      </c>
      <c r="AG51" s="100">
        <f t="shared" si="35"/>
        <v>1</v>
      </c>
      <c r="AH51" s="101" t="s">
        <v>204</v>
      </c>
      <c r="AI51" s="6"/>
      <c r="AJ51" s="6"/>
      <c r="AK51" s="6"/>
    </row>
    <row r="52" spans="1:73" ht="233.25" customHeight="1">
      <c r="A52" s="15" t="s">
        <v>89</v>
      </c>
      <c r="B52" s="9" t="s">
        <v>92</v>
      </c>
      <c r="C52" s="15" t="s">
        <v>93</v>
      </c>
      <c r="D52" s="11">
        <v>22.2</v>
      </c>
      <c r="E52" s="11">
        <v>22.5</v>
      </c>
      <c r="F52" s="11">
        <v>22.8</v>
      </c>
      <c r="G52" s="11">
        <v>22.8</v>
      </c>
      <c r="H52" s="11" t="s">
        <v>123</v>
      </c>
      <c r="I52" s="11" t="s">
        <v>123</v>
      </c>
      <c r="J52" s="11">
        <v>23.2</v>
      </c>
      <c r="K52" s="11">
        <v>23.7</v>
      </c>
      <c r="L52" s="11">
        <v>23.7</v>
      </c>
      <c r="M52" s="11">
        <f>(484896+75155)/M10/1000</f>
        <v>23.665793365729982</v>
      </c>
      <c r="N52" s="106">
        <v>23.4</v>
      </c>
      <c r="O52" s="11">
        <f>(562349.8-678)/O10/1000</f>
        <v>23.734282695964506</v>
      </c>
      <c r="P52" s="11">
        <v>23.9</v>
      </c>
      <c r="Q52" s="11">
        <v>23.9</v>
      </c>
      <c r="R52" s="11">
        <f>(484896+2473.1+75155-118.7)/R10/1000</f>
        <v>23.765282062117056</v>
      </c>
      <c r="S52" s="11">
        <f>(484896+2473.1+75155+11858.2+2091.55+1162.26-6659/2)/S10/1000</f>
        <v>23.827183753059785</v>
      </c>
      <c r="T52" s="11">
        <f>(484896+75155)/T10/1000</f>
        <v>23.394920422741134</v>
      </c>
      <c r="U52" s="11">
        <f t="shared" ref="U52" si="36">(484896+2473.1+75155+11858.2+2091.55+1162.26-6659/2)/U10/1000</f>
        <v>23.77231866107909</v>
      </c>
      <c r="V52" s="11">
        <v>23.791451087180757</v>
      </c>
      <c r="W52" s="11">
        <v>23.856713698298798</v>
      </c>
      <c r="X52" s="68">
        <v>23.978760405570679</v>
      </c>
      <c r="Y52" s="11">
        <v>24.0570781829419</v>
      </c>
      <c r="Z52" s="11">
        <v>24.2</v>
      </c>
      <c r="AA52" s="99">
        <f t="shared" si="34"/>
        <v>1.0135135135135136</v>
      </c>
      <c r="AB52" s="99">
        <f t="shared" si="34"/>
        <v>1.0133333333333334</v>
      </c>
      <c r="AC52" s="99">
        <f>K52/F52</f>
        <v>1.0394736842105263</v>
      </c>
      <c r="AD52" s="100">
        <f>P52/K52</f>
        <v>1.0084388185654007</v>
      </c>
      <c r="AE52" s="100">
        <f>W52/P52</f>
        <v>0.99818885766940579</v>
      </c>
      <c r="AF52" s="100">
        <f t="shared" si="35"/>
        <v>1.0051158222718908</v>
      </c>
      <c r="AG52" s="100">
        <f t="shared" si="35"/>
        <v>1.0032661311947146</v>
      </c>
      <c r="AH52" s="101" t="s">
        <v>205</v>
      </c>
      <c r="AI52" s="135"/>
      <c r="AJ52" s="6"/>
      <c r="AK52" s="6"/>
    </row>
    <row r="53" spans="1:73" ht="45">
      <c r="A53" s="15" t="s">
        <v>91</v>
      </c>
      <c r="B53" s="9" t="s">
        <v>90</v>
      </c>
      <c r="C53" s="15" t="s">
        <v>142</v>
      </c>
      <c r="D53" s="53">
        <f>2.809</f>
        <v>2.8090000000000002</v>
      </c>
      <c r="E53" s="53">
        <f>2.967</f>
        <v>2.9670000000000001</v>
      </c>
      <c r="F53" s="54">
        <v>3.1904034800000001</v>
      </c>
      <c r="G53" s="54">
        <v>3.1904034800000001</v>
      </c>
      <c r="H53" s="54" t="s">
        <v>140</v>
      </c>
      <c r="I53" s="54" t="s">
        <v>143</v>
      </c>
      <c r="J53" s="53">
        <f>F53*1.05</f>
        <v>3.3499236540000004</v>
      </c>
      <c r="K53" s="53">
        <v>3.5475530000000002</v>
      </c>
      <c r="L53" s="53">
        <v>3.5475530000000002</v>
      </c>
      <c r="M53" s="53">
        <v>3.5475530000000002</v>
      </c>
      <c r="N53" s="53">
        <v>3.5475530000000002</v>
      </c>
      <c r="O53" s="53">
        <f>L53+0.031653</f>
        <v>3.5792060000000001</v>
      </c>
      <c r="P53" s="53">
        <v>3.65</v>
      </c>
      <c r="Q53" s="53">
        <v>3.65</v>
      </c>
      <c r="R53" s="53">
        <v>3.7288709999999998</v>
      </c>
      <c r="S53" s="53">
        <f>R53</f>
        <v>3.7288709999999998</v>
      </c>
      <c r="T53" s="53" t="s">
        <v>206</v>
      </c>
      <c r="U53" s="53">
        <v>3.7288709999999998</v>
      </c>
      <c r="V53" s="116">
        <f>0.827737+2.877744</f>
        <v>3.7054809999999998</v>
      </c>
      <c r="W53" s="116">
        <f>0.869124+2.964076</f>
        <v>3.8331999999999997</v>
      </c>
      <c r="X53" s="116">
        <f>0.895197+3.052998</f>
        <v>3.9481950000000001</v>
      </c>
      <c r="Y53" s="116">
        <f>0.895198+3.052998</f>
        <v>3.9481960000000003</v>
      </c>
      <c r="Z53" s="54">
        <f>Y53</f>
        <v>3.9481960000000003</v>
      </c>
      <c r="AA53" s="99">
        <f t="shared" si="34"/>
        <v>1.0562477750088999</v>
      </c>
      <c r="AB53" s="99">
        <f t="shared" si="34"/>
        <v>1.0752960835861138</v>
      </c>
      <c r="AC53" s="99">
        <f>K53/F53</f>
        <v>1.1119449380741022</v>
      </c>
      <c r="AD53" s="100">
        <f>S53/K53</f>
        <v>1.0511107233634001</v>
      </c>
      <c r="AE53" s="100">
        <f>W53/P53</f>
        <v>1.0501917808219177</v>
      </c>
      <c r="AF53" s="100">
        <f t="shared" si="35"/>
        <v>1.0299997391213609</v>
      </c>
      <c r="AG53" s="100">
        <f t="shared" si="35"/>
        <v>1.0000002532802965</v>
      </c>
      <c r="AH53" s="132" t="s">
        <v>207</v>
      </c>
      <c r="AI53" s="6"/>
      <c r="AJ53" s="6"/>
      <c r="AK53" s="6"/>
    </row>
    <row r="54" spans="1:73">
      <c r="A54" s="19"/>
      <c r="B54" s="136" t="s">
        <v>159</v>
      </c>
      <c r="C54" s="137"/>
      <c r="D54" s="34"/>
      <c r="E54" s="35"/>
      <c r="F54" s="30"/>
      <c r="G54" s="30"/>
      <c r="H54" s="30"/>
      <c r="I54" s="30"/>
      <c r="J54" s="35"/>
      <c r="K54" s="35"/>
      <c r="L54" s="35"/>
      <c r="M54" s="35"/>
      <c r="N54" s="35"/>
      <c r="O54" s="35"/>
      <c r="P54" s="35"/>
      <c r="Q54" s="35"/>
      <c r="R54" s="35"/>
      <c r="S54" s="35"/>
      <c r="T54" s="35"/>
      <c r="U54" s="35"/>
      <c r="V54" s="35"/>
      <c r="W54" s="35"/>
      <c r="X54" s="35"/>
      <c r="Y54" s="35"/>
      <c r="Z54" s="35"/>
      <c r="AA54" s="138"/>
      <c r="AB54" s="138"/>
      <c r="AC54" s="139"/>
      <c r="AD54" s="140"/>
      <c r="AE54" s="140"/>
      <c r="AF54" s="140"/>
      <c r="AG54" s="140"/>
      <c r="AH54" s="141"/>
      <c r="AI54" s="6"/>
      <c r="AJ54" s="6"/>
      <c r="AK54" s="6"/>
    </row>
    <row r="55" spans="1:73">
      <c r="A55" s="19"/>
      <c r="B55" s="136" t="s">
        <v>208</v>
      </c>
      <c r="C55" s="137"/>
      <c r="D55" s="34"/>
      <c r="E55" s="35"/>
      <c r="F55" s="30"/>
      <c r="G55" s="30"/>
      <c r="H55" s="30"/>
      <c r="I55" s="30"/>
      <c r="J55" s="35"/>
      <c r="K55" s="35"/>
      <c r="L55" s="35"/>
      <c r="M55" s="35"/>
      <c r="N55" s="35"/>
      <c r="O55" s="35"/>
      <c r="P55" s="35"/>
      <c r="Q55" s="35"/>
      <c r="R55" s="35"/>
      <c r="S55" s="35"/>
      <c r="T55" s="35"/>
      <c r="U55" s="35"/>
      <c r="V55" s="35"/>
      <c r="W55" s="35"/>
      <c r="X55" s="35"/>
      <c r="Y55" s="35"/>
      <c r="Z55" s="35"/>
      <c r="AA55" s="138"/>
      <c r="AB55" s="138"/>
      <c r="AC55" s="139"/>
      <c r="AD55" s="140"/>
      <c r="AE55" s="140"/>
      <c r="AF55" s="140"/>
      <c r="AG55" s="140"/>
      <c r="AH55" s="141"/>
      <c r="AI55" s="6"/>
      <c r="AJ55" s="6"/>
      <c r="AK55" s="6"/>
    </row>
    <row r="56" spans="1:73">
      <c r="A56" s="19"/>
      <c r="B56" s="136" t="s">
        <v>209</v>
      </c>
      <c r="C56" s="137"/>
      <c r="D56" s="34"/>
      <c r="E56" s="35"/>
      <c r="F56" s="30"/>
      <c r="G56" s="30"/>
      <c r="H56" s="30"/>
      <c r="I56" s="30"/>
      <c r="J56" s="35"/>
      <c r="K56" s="35"/>
      <c r="L56" s="35"/>
      <c r="M56" s="35"/>
      <c r="N56" s="35"/>
      <c r="O56" s="35"/>
      <c r="P56" s="35"/>
      <c r="Q56" s="35"/>
      <c r="R56" s="35"/>
      <c r="S56" s="35"/>
      <c r="T56" s="35"/>
      <c r="U56" s="35"/>
      <c r="V56" s="35"/>
      <c r="W56" s="35"/>
      <c r="X56" s="35"/>
      <c r="Y56" s="35"/>
      <c r="Z56" s="35"/>
      <c r="AA56" s="138"/>
      <c r="AB56" s="138"/>
      <c r="AC56" s="139"/>
      <c r="AD56" s="140"/>
      <c r="AE56" s="140"/>
      <c r="AF56" s="140"/>
      <c r="AG56" s="140"/>
      <c r="AH56" s="141"/>
      <c r="AI56" s="6"/>
      <c r="AJ56" s="6"/>
      <c r="AK56" s="6"/>
    </row>
    <row r="57" spans="1:73">
      <c r="A57" s="187" t="s">
        <v>106</v>
      </c>
      <c r="B57" s="188"/>
      <c r="C57" s="19"/>
      <c r="D57" s="36"/>
      <c r="AC57" s="139"/>
      <c r="AD57" s="140"/>
      <c r="AE57" s="140"/>
      <c r="AF57" s="140"/>
      <c r="AG57" s="140"/>
      <c r="AH57" s="141"/>
      <c r="AI57" s="6"/>
      <c r="AJ57" s="6"/>
      <c r="AK57" s="6"/>
    </row>
    <row r="58" spans="1:73" hidden="1">
      <c r="A58" s="14" t="s">
        <v>94</v>
      </c>
      <c r="B58" s="78"/>
      <c r="AA58" s="142"/>
      <c r="AB58" s="142"/>
      <c r="AC58" s="142"/>
      <c r="AD58" s="142"/>
      <c r="AE58" s="142"/>
      <c r="AF58" s="142"/>
      <c r="AG58" s="142"/>
    </row>
    <row r="59" spans="1:73" ht="45" hidden="1">
      <c r="B59" s="143" t="s">
        <v>95</v>
      </c>
    </row>
    <row r="60" spans="1:73" hidden="1">
      <c r="B60" s="144" t="s">
        <v>96</v>
      </c>
    </row>
    <row r="61" spans="1:73" ht="60" hidden="1">
      <c r="B61" s="145" t="s">
        <v>97</v>
      </c>
    </row>
    <row r="62" spans="1:73" ht="45" hidden="1">
      <c r="B62" s="146" t="s">
        <v>98</v>
      </c>
    </row>
    <row r="63" spans="1:73" ht="28.5" hidden="1" customHeight="1">
      <c r="B63" s="7" t="s">
        <v>99</v>
      </c>
    </row>
    <row r="64" spans="1:73" s="2" customFormat="1">
      <c r="A64" s="14"/>
      <c r="B64" s="8"/>
      <c r="C64" s="147"/>
      <c r="D64" s="31"/>
      <c r="E64" s="31"/>
      <c r="F64" s="52"/>
      <c r="G64" s="52"/>
      <c r="H64" s="52"/>
      <c r="I64" s="52"/>
      <c r="J64" s="52"/>
      <c r="K64" s="52"/>
      <c r="L64" s="52"/>
      <c r="M64" s="52"/>
      <c r="N64" s="52"/>
      <c r="O64" s="52"/>
      <c r="P64" s="44"/>
      <c r="Q64" s="44"/>
      <c r="R64" s="52"/>
      <c r="S64" s="44"/>
      <c r="T64" s="44"/>
      <c r="U64" s="44"/>
      <c r="V64" s="44"/>
      <c r="W64" s="44"/>
      <c r="X64" s="44"/>
      <c r="Y64" s="44"/>
      <c r="Z64" s="44"/>
      <c r="AA64" s="78"/>
      <c r="AB64" s="78"/>
      <c r="AC64" s="78"/>
      <c r="AD64" s="78"/>
      <c r="AE64" s="78"/>
      <c r="AF64" s="78"/>
      <c r="AG64" s="78"/>
      <c r="AH64" s="81"/>
      <c r="AI64" s="4"/>
      <c r="AJ64" s="4"/>
      <c r="AK64" s="4"/>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sheetData>
  <mergeCells count="8">
    <mergeCell ref="A57:B57"/>
    <mergeCell ref="A1:Y1"/>
    <mergeCell ref="A3:U3"/>
    <mergeCell ref="P4:W4"/>
    <mergeCell ref="A5:A7"/>
    <mergeCell ref="B5:B7"/>
    <mergeCell ref="C5:C7"/>
    <mergeCell ref="X5:Z5"/>
  </mergeCells>
  <pageMargins left="0.23622047244094491" right="0.15748031496062992" top="0" bottom="0" header="0.23622047244094491" footer="0.23622047244094491"/>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dimension ref="A1:BW64"/>
  <sheetViews>
    <sheetView view="pageBreakPreview" zoomScaleNormal="100" zoomScaleSheetLayoutView="100" workbookViewId="0">
      <pane xSplit="3" ySplit="9" topLeftCell="G31" activePane="bottomRight" state="frozen"/>
      <selection pane="topRight" activeCell="D1" sqref="D1"/>
      <selection pane="bottomLeft" activeCell="A8" sqref="A8"/>
      <selection pane="bottomRight" activeCell="G33" sqref="G33"/>
    </sheetView>
  </sheetViews>
  <sheetFormatPr defaultRowHeight="15" outlineLevelRow="1" outlineLevelCol="1"/>
  <cols>
    <col min="1" max="1" width="5.85546875" style="14" customWidth="1"/>
    <col min="2" max="2" width="38.7109375" style="4" customWidth="1"/>
    <col min="3" max="3" width="9" style="14" customWidth="1"/>
    <col min="4" max="4" width="11.42578125" style="20" hidden="1" customWidth="1" outlineLevel="1"/>
    <col min="5" max="5" width="11.7109375" style="20" hidden="1" customWidth="1" outlineLevel="1"/>
    <col min="6" max="6" width="10.5703125" style="44" hidden="1" customWidth="1" outlineLevel="1"/>
    <col min="7" max="7" width="10.5703125" style="44" customWidth="1" collapsed="1"/>
    <col min="8" max="8" width="11.7109375" style="44" hidden="1" customWidth="1" outlineLevel="1"/>
    <col min="9" max="9" width="11.7109375" style="44" hidden="1" customWidth="1" outlineLevel="1" collapsed="1"/>
    <col min="10" max="10" width="10.42578125" style="44" hidden="1" customWidth="1" outlineLevel="1"/>
    <col min="11" max="11" width="10.42578125" style="44" hidden="1" customWidth="1" outlineLevel="1" collapsed="1"/>
    <col min="12" max="12" width="12.140625" style="44" hidden="1" customWidth="1" outlineLevel="1"/>
    <col min="13" max="13" width="12.42578125" style="44" hidden="1" customWidth="1" outlineLevel="1"/>
    <col min="14" max="14" width="12.42578125" style="44" customWidth="1" collapsed="1"/>
    <col min="15" max="15" width="11.85546875" style="44" hidden="1" customWidth="1" outlineLevel="1"/>
    <col min="16" max="16" width="13" style="44" hidden="1" customWidth="1" outlineLevel="1"/>
    <col min="17" max="17" width="12.42578125" style="44" hidden="1" customWidth="1" outlineLevel="1"/>
    <col min="18" max="18" width="13.42578125" style="44" hidden="1" customWidth="1" outlineLevel="1"/>
    <col min="19" max="21" width="12.42578125" style="44" hidden="1" customWidth="1" outlineLevel="1"/>
    <col min="22" max="23" width="12.42578125" style="44" customWidth="1" collapsed="1"/>
    <col min="24" max="24" width="12.42578125" style="44" customWidth="1"/>
    <col min="25" max="28" width="10.28515625" style="44" customWidth="1"/>
    <col min="29" max="29" width="9.85546875" style="78" hidden="1" customWidth="1" outlineLevel="1"/>
    <col min="30" max="31" width="9.140625" style="78" hidden="1" customWidth="1" outlineLevel="1"/>
    <col min="32" max="35" width="8.140625" style="78" hidden="1" customWidth="1" outlineLevel="1"/>
    <col min="36" max="36" width="47.85546875" style="81" customWidth="1" collapsed="1"/>
    <col min="37" max="38" width="9.140625" style="4" customWidth="1"/>
    <col min="39" max="39" width="9.140625" style="4"/>
    <col min="40" max="16384" width="9.140625" style="1"/>
  </cols>
  <sheetData>
    <row r="1" spans="1:75" ht="33" customHeight="1" outlineLevel="1">
      <c r="A1" s="189" t="s">
        <v>160</v>
      </c>
      <c r="B1" s="190"/>
      <c r="C1" s="190"/>
      <c r="D1" s="190"/>
      <c r="E1" s="190"/>
      <c r="F1" s="190"/>
      <c r="G1" s="190"/>
      <c r="H1" s="190"/>
      <c r="I1" s="190"/>
      <c r="J1" s="190"/>
      <c r="K1" s="190"/>
      <c r="L1" s="190"/>
      <c r="M1" s="190"/>
      <c r="N1" s="190"/>
      <c r="O1" s="190"/>
      <c r="P1" s="190"/>
      <c r="Q1" s="190"/>
      <c r="R1" s="190"/>
      <c r="S1" s="190"/>
      <c r="T1" s="190"/>
      <c r="U1" s="190"/>
      <c r="V1" s="190"/>
      <c r="W1" s="190"/>
      <c r="X1" s="190"/>
      <c r="Y1" s="190"/>
      <c r="Z1" s="191"/>
      <c r="AA1" s="191"/>
      <c r="AB1" s="77"/>
      <c r="AJ1" s="79" t="s">
        <v>210</v>
      </c>
    </row>
    <row r="2" spans="1:75">
      <c r="A2" s="73"/>
      <c r="B2" s="74"/>
      <c r="C2" s="80"/>
      <c r="D2" s="74"/>
      <c r="E2" s="74"/>
      <c r="F2" s="74"/>
      <c r="G2" s="80"/>
      <c r="H2" s="80"/>
      <c r="I2" s="80"/>
      <c r="J2" s="80"/>
      <c r="K2" s="80"/>
      <c r="L2" s="80"/>
      <c r="M2" s="80"/>
      <c r="N2" s="80"/>
      <c r="O2" s="80"/>
      <c r="P2" s="80"/>
      <c r="Q2" s="80"/>
      <c r="R2" s="80"/>
      <c r="S2" s="80"/>
      <c r="T2" s="80"/>
      <c r="U2" s="80"/>
      <c r="V2" s="80"/>
      <c r="W2" s="80"/>
      <c r="X2" s="80"/>
      <c r="Y2" s="80"/>
    </row>
    <row r="3" spans="1:75" ht="38.25" hidden="1" customHeight="1" outlineLevel="1">
      <c r="A3" s="189" t="s">
        <v>162</v>
      </c>
      <c r="B3" s="192"/>
      <c r="C3" s="192"/>
      <c r="D3" s="192"/>
      <c r="E3" s="192"/>
      <c r="F3" s="192"/>
      <c r="G3" s="192"/>
      <c r="H3" s="192"/>
      <c r="I3" s="192"/>
      <c r="J3" s="192"/>
      <c r="K3" s="192"/>
      <c r="L3" s="192"/>
      <c r="M3" s="192"/>
      <c r="N3" s="192"/>
      <c r="O3" s="192"/>
      <c r="P3" s="192"/>
      <c r="Q3" s="192"/>
      <c r="R3" s="192"/>
      <c r="S3" s="192"/>
      <c r="T3" s="192"/>
      <c r="U3" s="192"/>
      <c r="V3" s="35"/>
      <c r="W3" s="35"/>
      <c r="X3" s="35"/>
      <c r="Y3" s="77"/>
      <c r="Z3" s="77"/>
      <c r="AA3" s="77"/>
      <c r="AB3" s="77"/>
    </row>
    <row r="4" spans="1:75" collapsed="1">
      <c r="P4" s="193" t="s">
        <v>0</v>
      </c>
      <c r="Q4" s="194"/>
      <c r="R4" s="194"/>
      <c r="S4" s="194"/>
      <c r="T4" s="194"/>
      <c r="U4" s="194"/>
      <c r="V4" s="194"/>
      <c r="W4" s="194"/>
      <c r="X4" s="194"/>
      <c r="Y4" s="194"/>
      <c r="Z4" s="158" t="s">
        <v>226</v>
      </c>
      <c r="AA4" s="82"/>
      <c r="AB4" s="82"/>
    </row>
    <row r="5" spans="1:75" ht="35.25" customHeight="1">
      <c r="A5" s="195" t="s">
        <v>1</v>
      </c>
      <c r="B5" s="197" t="s">
        <v>2</v>
      </c>
      <c r="C5" s="195" t="s">
        <v>3</v>
      </c>
      <c r="D5" s="5" t="s">
        <v>4</v>
      </c>
      <c r="E5" s="5" t="s">
        <v>4</v>
      </c>
      <c r="F5" s="45" t="s">
        <v>4</v>
      </c>
      <c r="G5" s="45" t="s">
        <v>4</v>
      </c>
      <c r="H5" s="45" t="s">
        <v>4</v>
      </c>
      <c r="I5" s="45" t="s">
        <v>4</v>
      </c>
      <c r="J5" s="47" t="s">
        <v>5</v>
      </c>
      <c r="K5" s="46" t="s">
        <v>163</v>
      </c>
      <c r="L5" s="46" t="s">
        <v>163</v>
      </c>
      <c r="M5" s="46" t="s">
        <v>163</v>
      </c>
      <c r="N5" s="46" t="s">
        <v>163</v>
      </c>
      <c r="O5" s="46" t="s">
        <v>164</v>
      </c>
      <c r="P5" s="47" t="s">
        <v>149</v>
      </c>
      <c r="Q5" s="46" t="s">
        <v>165</v>
      </c>
      <c r="R5" s="46" t="s">
        <v>4</v>
      </c>
      <c r="S5" s="46" t="s">
        <v>158</v>
      </c>
      <c r="T5" s="46" t="s">
        <v>163</v>
      </c>
      <c r="U5" s="46" t="s">
        <v>158</v>
      </c>
      <c r="V5" s="46" t="s">
        <v>4</v>
      </c>
      <c r="W5" s="46" t="s">
        <v>4</v>
      </c>
      <c r="X5" s="46" t="s">
        <v>4</v>
      </c>
      <c r="Y5" s="46" t="s">
        <v>158</v>
      </c>
      <c r="Z5" s="198" t="s">
        <v>101</v>
      </c>
      <c r="AA5" s="199"/>
      <c r="AB5" s="200"/>
      <c r="AC5" s="83" t="s">
        <v>112</v>
      </c>
      <c r="AD5" s="83"/>
      <c r="AE5" s="83"/>
      <c r="AF5" s="83"/>
      <c r="AG5" s="83"/>
      <c r="AH5" s="83"/>
      <c r="AI5" s="83"/>
      <c r="AJ5" s="84" t="s">
        <v>111</v>
      </c>
    </row>
    <row r="6" spans="1:75" ht="28.5" outlineLevel="1">
      <c r="A6" s="196"/>
      <c r="B6" s="197"/>
      <c r="C6" s="195"/>
      <c r="D6" s="5"/>
      <c r="E6" s="5"/>
      <c r="F6" s="45"/>
      <c r="G6" s="85" t="s">
        <v>166</v>
      </c>
      <c r="H6" s="45"/>
      <c r="I6" s="45"/>
      <c r="J6" s="47"/>
      <c r="K6" s="86" t="s">
        <v>167</v>
      </c>
      <c r="L6" s="86" t="s">
        <v>168</v>
      </c>
      <c r="M6" s="86" t="s">
        <v>169</v>
      </c>
      <c r="N6" s="85" t="s">
        <v>166</v>
      </c>
      <c r="O6" s="86"/>
      <c r="P6" s="87"/>
      <c r="Q6" s="86"/>
      <c r="R6" s="86" t="s">
        <v>170</v>
      </c>
      <c r="S6" s="86" t="s">
        <v>168</v>
      </c>
      <c r="T6" s="86" t="s">
        <v>169</v>
      </c>
      <c r="U6" s="86" t="s">
        <v>169</v>
      </c>
      <c r="V6" s="86"/>
      <c r="W6" s="85" t="s">
        <v>166</v>
      </c>
      <c r="X6" s="86"/>
      <c r="Y6" s="46"/>
      <c r="Z6" s="88"/>
      <c r="AA6" s="88"/>
      <c r="AB6" s="88"/>
      <c r="AC6" s="83"/>
      <c r="AD6" s="83"/>
      <c r="AE6" s="83"/>
      <c r="AF6" s="83"/>
      <c r="AG6" s="83"/>
      <c r="AH6" s="83"/>
      <c r="AI6" s="83"/>
      <c r="AJ6" s="89"/>
    </row>
    <row r="7" spans="1:75" ht="30" customHeight="1">
      <c r="A7" s="196"/>
      <c r="B7" s="197"/>
      <c r="C7" s="195"/>
      <c r="D7" s="72" t="s">
        <v>6</v>
      </c>
      <c r="E7" s="72" t="s">
        <v>7</v>
      </c>
      <c r="F7" s="46" t="s">
        <v>8</v>
      </c>
      <c r="G7" s="46" t="s">
        <v>8</v>
      </c>
      <c r="H7" s="46" t="s">
        <v>114</v>
      </c>
      <c r="I7" s="46" t="s">
        <v>135</v>
      </c>
      <c r="J7" s="45" t="s">
        <v>9</v>
      </c>
      <c r="K7" s="46" t="s">
        <v>9</v>
      </c>
      <c r="L7" s="46" t="s">
        <v>9</v>
      </c>
      <c r="M7" s="46" t="s">
        <v>9</v>
      </c>
      <c r="N7" s="46" t="s">
        <v>9</v>
      </c>
      <c r="O7" s="46" t="s">
        <v>148</v>
      </c>
      <c r="P7" s="45" t="s">
        <v>10</v>
      </c>
      <c r="Q7" s="46" t="s">
        <v>10</v>
      </c>
      <c r="R7" s="46" t="s">
        <v>148</v>
      </c>
      <c r="S7" s="46" t="s">
        <v>10</v>
      </c>
      <c r="T7" s="46" t="s">
        <v>171</v>
      </c>
      <c r="U7" s="46" t="s">
        <v>10</v>
      </c>
      <c r="V7" s="46" t="s">
        <v>10</v>
      </c>
      <c r="W7" s="46" t="s">
        <v>10</v>
      </c>
      <c r="X7" s="72" t="s">
        <v>211</v>
      </c>
      <c r="Y7" s="45" t="s">
        <v>11</v>
      </c>
      <c r="Z7" s="45" t="s">
        <v>100</v>
      </c>
      <c r="AA7" s="45" t="s">
        <v>144</v>
      </c>
      <c r="AB7" s="45" t="s">
        <v>172</v>
      </c>
      <c r="AC7" s="45"/>
      <c r="AD7" s="83"/>
      <c r="AE7" s="83"/>
      <c r="AF7" s="83"/>
      <c r="AG7" s="83"/>
      <c r="AH7" s="83"/>
      <c r="AI7" s="83"/>
      <c r="AJ7" s="89"/>
      <c r="AK7" s="4">
        <v>2019</v>
      </c>
      <c r="AL7" s="4">
        <v>2020</v>
      </c>
    </row>
    <row r="8" spans="1:75" ht="13.5" hidden="1" customHeight="1" outlineLevel="1">
      <c r="A8" s="76"/>
      <c r="B8" s="67" t="s">
        <v>150</v>
      </c>
      <c r="C8" s="75"/>
      <c r="D8" s="72"/>
      <c r="E8" s="72"/>
      <c r="F8" s="46"/>
      <c r="G8" s="46"/>
      <c r="H8" s="46"/>
      <c r="I8" s="46"/>
      <c r="J8" s="45"/>
      <c r="K8" s="46"/>
      <c r="L8" s="46"/>
      <c r="M8" s="46"/>
      <c r="N8" s="46"/>
      <c r="O8" s="46"/>
      <c r="P8" s="45"/>
      <c r="Q8" s="90">
        <v>1.1559999999999999</v>
      </c>
      <c r="R8" s="46"/>
      <c r="S8" s="90"/>
      <c r="T8" s="90"/>
      <c r="U8" s="90"/>
      <c r="V8" s="90"/>
      <c r="W8" s="90"/>
      <c r="X8" s="90"/>
      <c r="Y8" s="91">
        <v>1.0640000000000001</v>
      </c>
      <c r="Z8" s="91">
        <v>1.0609999999999999</v>
      </c>
      <c r="AA8" s="91">
        <v>1.052</v>
      </c>
      <c r="AB8" s="91"/>
      <c r="AC8" s="45"/>
      <c r="AD8" s="83"/>
      <c r="AE8" s="83"/>
      <c r="AF8" s="83"/>
      <c r="AG8" s="83"/>
      <c r="AH8" s="83"/>
      <c r="AI8" s="83"/>
      <c r="AJ8" s="89"/>
    </row>
    <row r="9" spans="1:75" ht="22.5" customHeight="1" collapsed="1">
      <c r="A9" s="15" t="s">
        <v>12</v>
      </c>
      <c r="B9" s="92" t="s">
        <v>13</v>
      </c>
      <c r="C9" s="93"/>
      <c r="D9" s="63"/>
      <c r="E9" s="63"/>
      <c r="F9" s="63"/>
      <c r="G9" s="93"/>
      <c r="H9" s="93"/>
      <c r="I9" s="93"/>
      <c r="J9" s="93"/>
      <c r="K9" s="93"/>
      <c r="L9" s="93"/>
      <c r="M9" s="94"/>
      <c r="N9" s="94"/>
      <c r="O9" s="93"/>
      <c r="P9" s="93"/>
      <c r="Q9" s="93"/>
      <c r="R9" s="93"/>
      <c r="S9" s="93"/>
      <c r="T9" s="93"/>
      <c r="U9" s="93"/>
      <c r="V9" s="93"/>
      <c r="W9" s="93"/>
      <c r="X9" s="93"/>
      <c r="Y9" s="93"/>
      <c r="Z9" s="94"/>
      <c r="AA9" s="94"/>
      <c r="AB9" s="94"/>
      <c r="AC9" s="95" t="s">
        <v>14</v>
      </c>
      <c r="AD9" s="96" t="s">
        <v>15</v>
      </c>
      <c r="AE9" s="96" t="s">
        <v>16</v>
      </c>
      <c r="AF9" s="96" t="s">
        <v>109</v>
      </c>
      <c r="AG9" s="96" t="s">
        <v>145</v>
      </c>
      <c r="AH9" s="96" t="s">
        <v>146</v>
      </c>
      <c r="AI9" s="96" t="s">
        <v>147</v>
      </c>
      <c r="AJ9" s="89"/>
    </row>
    <row r="10" spans="1:75" ht="30">
      <c r="A10" s="15" t="s">
        <v>17</v>
      </c>
      <c r="B10" s="9" t="s">
        <v>18</v>
      </c>
      <c r="C10" s="9" t="s">
        <v>102</v>
      </c>
      <c r="D10" s="66">
        <v>22.038</v>
      </c>
      <c r="E10" s="64">
        <v>22.643999999999998</v>
      </c>
      <c r="F10" s="64">
        <v>23.151</v>
      </c>
      <c r="G10" s="54">
        <v>23.151</v>
      </c>
      <c r="H10" s="54" t="s">
        <v>120</v>
      </c>
      <c r="I10" s="54">
        <f>F10+0.079+0.056</f>
        <v>23.286000000000001</v>
      </c>
      <c r="J10" s="54">
        <f>F10+J11+J12</f>
        <v>23.626139999999999</v>
      </c>
      <c r="K10" s="54">
        <f>F10+K11+K12</f>
        <v>23.665000000000003</v>
      </c>
      <c r="L10" s="54">
        <v>23.664999999999999</v>
      </c>
      <c r="M10" s="54">
        <v>23.664999999999999</v>
      </c>
      <c r="N10" s="54">
        <v>23.664999999999999</v>
      </c>
      <c r="O10" s="54">
        <v>23.664999999999999</v>
      </c>
      <c r="P10" s="54">
        <f>K10+P11+P12</f>
        <v>24.103000000000005</v>
      </c>
      <c r="Q10" s="54">
        <v>24.103000000000002</v>
      </c>
      <c r="R10" s="54">
        <v>23.664999999999999</v>
      </c>
      <c r="S10" s="54">
        <v>24.103000000000002</v>
      </c>
      <c r="T10" s="98">
        <v>23.939</v>
      </c>
      <c r="U10" s="54">
        <f>M10+U11+U12</f>
        <v>24.158628284765328</v>
      </c>
      <c r="V10" s="54">
        <v>24.236999999999998</v>
      </c>
      <c r="W10" s="54">
        <v>24.236999999999998</v>
      </c>
      <c r="X10" s="54">
        <v>24.236999999999998</v>
      </c>
      <c r="Y10" s="54">
        <v>24.806000000000001</v>
      </c>
      <c r="Z10" s="54">
        <v>25.347000000000001</v>
      </c>
      <c r="AA10" s="54">
        <v>25.888000000000002</v>
      </c>
      <c r="AB10" s="54">
        <v>26.216999999999999</v>
      </c>
      <c r="AC10" s="99">
        <f t="shared" ref="AC10:AD13" si="0">E10/D10</f>
        <v>1.0274979580724202</v>
      </c>
      <c r="AD10" s="99">
        <f t="shared" si="0"/>
        <v>1.0223900370959196</v>
      </c>
      <c r="AE10" s="99">
        <f>K10/F10</f>
        <v>1.0222020647056285</v>
      </c>
      <c r="AF10" s="100">
        <f>P10/K10</f>
        <v>1.018508345658145</v>
      </c>
      <c r="AG10" s="100">
        <f>Y10/P10</f>
        <v>1.0291664937974525</v>
      </c>
      <c r="AH10" s="100">
        <f>Z10/Y10</f>
        <v>1.0218092397000726</v>
      </c>
      <c r="AI10" s="100">
        <f>AA10/Z10</f>
        <v>1.0213437487671124</v>
      </c>
      <c r="AJ10" s="12" t="s">
        <v>151</v>
      </c>
      <c r="AK10" s="62">
        <f>AA10+AK11+AK12</f>
        <v>26.431033333333335</v>
      </c>
      <c r="AL10" s="62">
        <f>AK10+AL11+AL12</f>
        <v>26.976120333333338</v>
      </c>
      <c r="AM10" s="102"/>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49.5" customHeight="1">
      <c r="A11" s="15" t="s">
        <v>20</v>
      </c>
      <c r="B11" s="9" t="s">
        <v>21</v>
      </c>
      <c r="C11" s="9" t="s">
        <v>22</v>
      </c>
      <c r="D11" s="65">
        <v>0.11700000000000001</v>
      </c>
      <c r="E11" s="65">
        <v>0.14099999999999999</v>
      </c>
      <c r="F11" s="64">
        <f>164/1000</f>
        <v>0.16400000000000001</v>
      </c>
      <c r="G11" s="54">
        <f>164/1000</f>
        <v>0.16400000000000001</v>
      </c>
      <c r="H11" s="48">
        <f>76/1000</f>
        <v>7.5999999999999998E-2</v>
      </c>
      <c r="I11" s="48" t="s">
        <v>137</v>
      </c>
      <c r="J11" s="48">
        <f>(79*2)/1000</f>
        <v>0.158</v>
      </c>
      <c r="K11" s="48">
        <v>0.19</v>
      </c>
      <c r="L11" s="48">
        <v>0.19</v>
      </c>
      <c r="M11" s="54">
        <v>0.19</v>
      </c>
      <c r="N11" s="54">
        <v>0.19</v>
      </c>
      <c r="O11" s="71" t="s">
        <v>141</v>
      </c>
      <c r="P11" s="48">
        <f>164/1000</f>
        <v>0.16400000000000001</v>
      </c>
      <c r="Q11" s="48">
        <f>164/1000</f>
        <v>0.16400000000000001</v>
      </c>
      <c r="R11" s="71" t="s">
        <v>141</v>
      </c>
      <c r="S11" s="48">
        <f>164/1000</f>
        <v>0.16400000000000001</v>
      </c>
      <c r="T11" s="103" t="s">
        <v>141</v>
      </c>
      <c r="U11" s="48">
        <f>(164+190)/2/1000</f>
        <v>0.17699999999999999</v>
      </c>
      <c r="V11" s="54">
        <v>0.251</v>
      </c>
      <c r="W11" s="97">
        <v>0.25600000000000001</v>
      </c>
      <c r="X11" s="71" t="s">
        <v>141</v>
      </c>
      <c r="Y11" s="54">
        <f>(W11+M11+F11)/3</f>
        <v>0.20333333333333334</v>
      </c>
      <c r="Z11" s="54">
        <f t="shared" ref="Z11:AB12" si="1">Y11</f>
        <v>0.20333333333333334</v>
      </c>
      <c r="AA11" s="54">
        <f t="shared" si="1"/>
        <v>0.20333333333333334</v>
      </c>
      <c r="AB11" s="54">
        <f t="shared" si="1"/>
        <v>0.20333333333333334</v>
      </c>
      <c r="AC11" s="99">
        <f t="shared" si="0"/>
        <v>1.2051282051282048</v>
      </c>
      <c r="AD11" s="99">
        <f t="shared" si="0"/>
        <v>1.1631205673758866</v>
      </c>
      <c r="AE11" s="99">
        <f>K11/F11</f>
        <v>1.1585365853658536</v>
      </c>
      <c r="AF11" s="100">
        <f>P11/K11</f>
        <v>0.86315789473684212</v>
      </c>
      <c r="AG11" s="100">
        <f>Y11/P11</f>
        <v>1.2398373983739837</v>
      </c>
      <c r="AH11" s="100">
        <f t="shared" ref="AH11:AI13" si="2">Z11/Y11</f>
        <v>1</v>
      </c>
      <c r="AI11" s="100">
        <f t="shared" si="2"/>
        <v>1</v>
      </c>
      <c r="AJ11" s="12" t="s">
        <v>213</v>
      </c>
      <c r="AK11" s="32">
        <f>AA11*1.01</f>
        <v>0.20536666666666667</v>
      </c>
      <c r="AL11" s="104">
        <f>AK11*1.01</f>
        <v>0.20742033333333335</v>
      </c>
      <c r="AM11" s="6"/>
    </row>
    <row r="12" spans="1:75" ht="30.75" customHeight="1">
      <c r="A12" s="15" t="s">
        <v>23</v>
      </c>
      <c r="B12" s="9" t="s">
        <v>24</v>
      </c>
      <c r="C12" s="9" t="s">
        <v>22</v>
      </c>
      <c r="D12" s="66">
        <v>0.55800000000000005</v>
      </c>
      <c r="E12" s="66">
        <v>0.39600000000000002</v>
      </c>
      <c r="F12" s="64">
        <f>314/1000</f>
        <v>0.314</v>
      </c>
      <c r="G12" s="54">
        <f>314/1000</f>
        <v>0.314</v>
      </c>
      <c r="H12" s="11">
        <f>56/1000</f>
        <v>5.6000000000000001E-2</v>
      </c>
      <c r="I12" s="11" t="s">
        <v>138</v>
      </c>
      <c r="J12" s="11">
        <f>314*1.01/1000</f>
        <v>0.31713999999999998</v>
      </c>
      <c r="K12" s="11">
        <f>0.359-0.035</f>
        <v>0.32399999999999995</v>
      </c>
      <c r="L12" s="11">
        <f>0.359-0.035</f>
        <v>0.32399999999999995</v>
      </c>
      <c r="M12" s="54">
        <v>0.35899999999999999</v>
      </c>
      <c r="N12" s="54">
        <v>0.35899999999999999</v>
      </c>
      <c r="O12" s="71" t="s">
        <v>141</v>
      </c>
      <c r="P12" s="11">
        <f>314/1000-0.04</f>
        <v>0.27400000000000002</v>
      </c>
      <c r="Q12" s="11">
        <f>314/1000-0.04</f>
        <v>0.27400000000000002</v>
      </c>
      <c r="R12" s="71" t="s">
        <v>141</v>
      </c>
      <c r="S12" s="11">
        <f>314/1000-0.04</f>
        <v>0.27400000000000002</v>
      </c>
      <c r="T12" s="103" t="s">
        <v>141</v>
      </c>
      <c r="U12" s="11">
        <f>((E12/D12)+(F12/E12)+(M12/F12))/3*M12</f>
        <v>0.31662828476533011</v>
      </c>
      <c r="V12" s="54">
        <v>0.34</v>
      </c>
      <c r="W12" s="54">
        <v>0.34</v>
      </c>
      <c r="X12" s="71" t="s">
        <v>141</v>
      </c>
      <c r="Y12" s="54">
        <f>(V12+M12+F12)/3</f>
        <v>0.33766666666666673</v>
      </c>
      <c r="Z12" s="54">
        <f t="shared" si="1"/>
        <v>0.33766666666666673</v>
      </c>
      <c r="AA12" s="54">
        <f t="shared" si="1"/>
        <v>0.33766666666666673</v>
      </c>
      <c r="AB12" s="54">
        <f t="shared" si="1"/>
        <v>0.33766666666666673</v>
      </c>
      <c r="AC12" s="99">
        <f t="shared" si="0"/>
        <v>0.70967741935483863</v>
      </c>
      <c r="AD12" s="99">
        <f t="shared" si="0"/>
        <v>0.79292929292929293</v>
      </c>
      <c r="AE12" s="99">
        <f>K12/F12</f>
        <v>1.0318471337579616</v>
      </c>
      <c r="AF12" s="100">
        <f>P12/K12</f>
        <v>0.84567901234567922</v>
      </c>
      <c r="AG12" s="100">
        <f>Y12/P12</f>
        <v>1.2323600973236011</v>
      </c>
      <c r="AH12" s="100">
        <f t="shared" si="2"/>
        <v>1</v>
      </c>
      <c r="AI12" s="100">
        <f t="shared" si="2"/>
        <v>1</v>
      </c>
      <c r="AJ12" s="12" t="s">
        <v>151</v>
      </c>
      <c r="AK12" s="22">
        <f>AA12</f>
        <v>0.33766666666666673</v>
      </c>
      <c r="AL12" s="105">
        <f>AK12</f>
        <v>0.33766666666666673</v>
      </c>
      <c r="AM12" s="6"/>
    </row>
    <row r="13" spans="1:75" ht="45" customHeight="1">
      <c r="A13" s="15" t="s">
        <v>25</v>
      </c>
      <c r="B13" s="9" t="s">
        <v>26</v>
      </c>
      <c r="C13" s="9" t="s">
        <v>22</v>
      </c>
      <c r="D13" s="22">
        <v>14.12</v>
      </c>
      <c r="E13" s="21">
        <v>14.26</v>
      </c>
      <c r="F13" s="11">
        <f>14258/1000</f>
        <v>14.257999999999999</v>
      </c>
      <c r="G13" s="11">
        <f>14258/1000</f>
        <v>14.257999999999999</v>
      </c>
      <c r="H13" s="11" t="s">
        <v>119</v>
      </c>
      <c r="I13" s="11" t="s">
        <v>119</v>
      </c>
      <c r="J13" s="11">
        <f>SUM(F13*1.01)</f>
        <v>14.40058</v>
      </c>
      <c r="K13" s="11">
        <v>14.438000000000001</v>
      </c>
      <c r="L13" s="11">
        <v>14.4</v>
      </c>
      <c r="M13" s="11">
        <v>14.590999999999999</v>
      </c>
      <c r="N13" s="11">
        <v>14.590999999999999</v>
      </c>
      <c r="O13" s="71" t="s">
        <v>141</v>
      </c>
      <c r="P13" s="11">
        <v>14.6</v>
      </c>
      <c r="Q13" s="11">
        <v>14.6</v>
      </c>
      <c r="R13" s="71" t="s">
        <v>141</v>
      </c>
      <c r="S13" s="11">
        <v>14.6</v>
      </c>
      <c r="T13" s="55" t="s">
        <v>141</v>
      </c>
      <c r="U13" s="11">
        <v>14.6</v>
      </c>
      <c r="V13" s="106" t="s">
        <v>176</v>
      </c>
      <c r="W13" s="11" t="s">
        <v>176</v>
      </c>
      <c r="X13" s="71" t="s">
        <v>141</v>
      </c>
      <c r="Y13" s="11">
        <v>14.7</v>
      </c>
      <c r="Z13" s="11">
        <v>14.7</v>
      </c>
      <c r="AA13" s="11">
        <v>14.7</v>
      </c>
      <c r="AB13" s="11">
        <f>AA13</f>
        <v>14.7</v>
      </c>
      <c r="AC13" s="99">
        <f t="shared" si="0"/>
        <v>1.0099150141643061</v>
      </c>
      <c r="AD13" s="99">
        <f t="shared" si="0"/>
        <v>0.99985974754558204</v>
      </c>
      <c r="AE13" s="99">
        <f>K13/F13</f>
        <v>1.0126244915135363</v>
      </c>
      <c r="AF13" s="100">
        <f>P13/K13</f>
        <v>1.0112203906358221</v>
      </c>
      <c r="AG13" s="100">
        <f>Y13/P13</f>
        <v>1.0068493150684932</v>
      </c>
      <c r="AH13" s="100">
        <f t="shared" si="2"/>
        <v>1</v>
      </c>
      <c r="AI13" s="100">
        <f t="shared" si="2"/>
        <v>1</v>
      </c>
      <c r="AJ13" s="12" t="s">
        <v>212</v>
      </c>
      <c r="AK13" s="6"/>
      <c r="AL13" s="6"/>
      <c r="AM13" s="6"/>
    </row>
    <row r="14" spans="1:75">
      <c r="A14" s="15" t="s">
        <v>27</v>
      </c>
      <c r="B14" s="107" t="s">
        <v>28</v>
      </c>
      <c r="C14" s="93"/>
      <c r="D14" s="60"/>
      <c r="E14" s="60"/>
      <c r="F14" s="93"/>
      <c r="G14" s="23"/>
      <c r="H14" s="23"/>
      <c r="I14" s="23"/>
      <c r="J14" s="23"/>
      <c r="K14" s="23"/>
      <c r="L14" s="23"/>
      <c r="M14" s="23"/>
      <c r="N14" s="23"/>
      <c r="O14" s="23"/>
      <c r="P14" s="23"/>
      <c r="Q14" s="23"/>
      <c r="R14" s="23"/>
      <c r="S14" s="23"/>
      <c r="T14" s="23"/>
      <c r="U14" s="23"/>
      <c r="V14" s="23"/>
      <c r="W14" s="23"/>
      <c r="X14" s="23"/>
      <c r="Y14" s="23"/>
      <c r="Z14" s="23"/>
      <c r="AA14" s="23"/>
      <c r="AB14" s="23"/>
      <c r="AC14" s="23">
        <f t="shared" ref="AC14:AI14" si="3">AC23*AC18*12/1000</f>
        <v>1.3717933423069262E-2</v>
      </c>
      <c r="AD14" s="23">
        <f t="shared" si="3"/>
        <v>1.2584832831064659E-2</v>
      </c>
      <c r="AE14" s="23">
        <f t="shared" si="3"/>
        <v>1.4500143299914548E-2</v>
      </c>
      <c r="AF14" s="23">
        <f t="shared" si="3"/>
        <v>1.2728338401812827E-2</v>
      </c>
      <c r="AG14" s="23">
        <f t="shared" si="3"/>
        <v>1.1901929345926583E-2</v>
      </c>
      <c r="AH14" s="23">
        <f t="shared" si="3"/>
        <v>1.2182741116751271E-2</v>
      </c>
      <c r="AI14" s="23">
        <f t="shared" si="3"/>
        <v>1.2359999999999999E-2</v>
      </c>
      <c r="AJ14" s="108"/>
      <c r="AK14" s="6"/>
      <c r="AL14" s="6"/>
      <c r="AM14" s="6"/>
    </row>
    <row r="15" spans="1:75" ht="60">
      <c r="A15" s="15" t="s">
        <v>29</v>
      </c>
      <c r="B15" s="9" t="s">
        <v>30</v>
      </c>
      <c r="C15" s="9" t="s">
        <v>31</v>
      </c>
      <c r="D15" s="23">
        <v>8670.7999999999993</v>
      </c>
      <c r="E15" s="23">
        <v>9248.2000000000007</v>
      </c>
      <c r="F15" s="23">
        <v>10156.270399999999</v>
      </c>
      <c r="G15" s="109">
        <f>G17+(G18-G20)*G23*0.5*12/1000</f>
        <v>10844.047364</v>
      </c>
      <c r="H15" s="23" t="s">
        <v>116</v>
      </c>
      <c r="I15" s="23" t="s">
        <v>139</v>
      </c>
      <c r="J15" s="23">
        <f>PRODUCT(F15*1.1)</f>
        <v>11171.897440000001</v>
      </c>
      <c r="K15" s="23">
        <v>10224.038</v>
      </c>
      <c r="L15" s="23">
        <v>10224.038</v>
      </c>
      <c r="M15" s="23">
        <v>10224.038</v>
      </c>
      <c r="N15" s="109">
        <f>N17+(N18-N20)*N23*0.5*12/1000</f>
        <v>11236.808045</v>
      </c>
      <c r="O15" s="71" t="s">
        <v>141</v>
      </c>
      <c r="P15" s="23">
        <f>P18*P23/100</f>
        <v>10847.623908000001</v>
      </c>
      <c r="Q15" s="23">
        <f>P15</f>
        <v>10847.623908000001</v>
      </c>
      <c r="R15" s="71" t="s">
        <v>141</v>
      </c>
      <c r="S15" s="23">
        <f>S18*S23/100</f>
        <v>10847.623908000001</v>
      </c>
      <c r="T15" s="23" t="s">
        <v>178</v>
      </c>
      <c r="U15" s="23">
        <f>5406.7*2</f>
        <v>10813.4</v>
      </c>
      <c r="V15" s="23">
        <f>V17+(V18-V20)*V23*0.5*12/1000</f>
        <v>11769.755925000001</v>
      </c>
      <c r="W15" s="23">
        <f>W17+(W18-W20)*W23*0.5*12/1000</f>
        <v>11769.755925000001</v>
      </c>
      <c r="X15" s="71" t="s">
        <v>141</v>
      </c>
      <c r="Y15" s="150">
        <f>Y17+(Y18-Y20)*Y23*0.5*12/1000</f>
        <v>11840.641528995</v>
      </c>
      <c r="Z15" s="150">
        <f t="shared" ref="Z15:AB15" si="4">Z17+(Z18-Z20)*Z23*0.5*12/1000</f>
        <v>12142.366977</v>
      </c>
      <c r="AA15" s="150">
        <f t="shared" si="4"/>
        <v>12631.691429610002</v>
      </c>
      <c r="AB15" s="150">
        <f t="shared" si="4"/>
        <v>13139.447219097301</v>
      </c>
      <c r="AC15" s="99">
        <f>E15/D15</f>
        <v>1.0665913179868065</v>
      </c>
      <c r="AD15" s="99">
        <f>F15/E15</f>
        <v>1.0981888799982698</v>
      </c>
      <c r="AE15" s="99">
        <f>K15/F15</f>
        <v>1.0066724887513827</v>
      </c>
      <c r="AF15" s="100">
        <f>P15/K15</f>
        <v>1.0609921352013756</v>
      </c>
      <c r="AG15" s="100">
        <f>Y15/P15</f>
        <v>1.0915424086801773</v>
      </c>
      <c r="AH15" s="100">
        <f t="shared" ref="AH15:AI18" si="5">Z15/Y15</f>
        <v>1.0254821875374018</v>
      </c>
      <c r="AI15" s="100">
        <f t="shared" si="5"/>
        <v>1.0402989345929734</v>
      </c>
      <c r="AJ15" s="12" t="s">
        <v>156</v>
      </c>
      <c r="AK15" s="6"/>
      <c r="AL15" s="6">
        <f>Z15/Y15</f>
        <v>1.0254821875374018</v>
      </c>
      <c r="AM15" s="6"/>
    </row>
    <row r="16" spans="1:75" outlineLevel="1">
      <c r="A16" s="15"/>
      <c r="B16" s="9" t="s">
        <v>180</v>
      </c>
      <c r="C16" s="9"/>
      <c r="D16" s="23"/>
      <c r="E16" s="23"/>
      <c r="F16" s="23"/>
      <c r="G16" s="23"/>
      <c r="H16" s="23"/>
      <c r="I16" s="23"/>
      <c r="J16" s="23"/>
      <c r="K16" s="23"/>
      <c r="L16" s="23"/>
      <c r="M16" s="23"/>
      <c r="N16" s="23"/>
      <c r="O16" s="71"/>
      <c r="P16" s="23"/>
      <c r="Q16" s="23"/>
      <c r="R16" s="71"/>
      <c r="S16" s="23"/>
      <c r="T16" s="23"/>
      <c r="U16" s="23"/>
      <c r="V16" s="23"/>
      <c r="W16" s="23"/>
      <c r="X16" s="23"/>
      <c r="Y16" s="23"/>
      <c r="Z16" s="23"/>
      <c r="AA16" s="23"/>
      <c r="AB16" s="23"/>
      <c r="AC16" s="99"/>
      <c r="AD16" s="99"/>
      <c r="AE16" s="99"/>
      <c r="AF16" s="100"/>
      <c r="AG16" s="100"/>
      <c r="AH16" s="100"/>
      <c r="AI16" s="100"/>
      <c r="AJ16" s="89"/>
      <c r="AK16" s="6"/>
      <c r="AL16" s="6"/>
      <c r="AM16" s="6"/>
    </row>
    <row r="17" spans="1:39" ht="60" outlineLevel="1">
      <c r="A17" s="110" t="s">
        <v>181</v>
      </c>
      <c r="B17" s="9" t="s">
        <v>182</v>
      </c>
      <c r="C17" s="9" t="s">
        <v>31</v>
      </c>
      <c r="D17" s="23"/>
      <c r="E17" s="23"/>
      <c r="F17" s="23"/>
      <c r="G17" s="23">
        <f>10156.2704</f>
        <v>10156.270399999999</v>
      </c>
      <c r="H17" s="23"/>
      <c r="I17" s="23"/>
      <c r="J17" s="23"/>
      <c r="K17" s="23"/>
      <c r="L17" s="23"/>
      <c r="M17" s="23"/>
      <c r="N17" s="23">
        <f>10224.038</f>
        <v>10224.038</v>
      </c>
      <c r="O17" s="71"/>
      <c r="P17" s="23"/>
      <c r="Q17" s="23"/>
      <c r="R17" s="71"/>
      <c r="S17" s="23"/>
      <c r="T17" s="23"/>
      <c r="U17" s="23"/>
      <c r="V17" s="23">
        <f>10691.709</f>
        <v>10691.709000000001</v>
      </c>
      <c r="W17" s="23">
        <f>10691.709</f>
        <v>10691.709000000001</v>
      </c>
      <c r="X17" s="148">
        <v>2677.4605999999999</v>
      </c>
      <c r="Y17" s="150">
        <f>Y23*Y20/1000*12</f>
        <v>10770.51772557</v>
      </c>
      <c r="Z17" s="150">
        <f t="shared" ref="Z17:AB17" si="6">Z23*Z20/1000*12</f>
        <v>11177.357982000001</v>
      </c>
      <c r="AA17" s="150">
        <f t="shared" si="6"/>
        <v>11762.785608060003</v>
      </c>
      <c r="AB17" s="150">
        <f t="shared" si="6"/>
        <v>12373.279269499802</v>
      </c>
      <c r="AC17" s="99"/>
      <c r="AD17" s="99"/>
      <c r="AE17" s="99"/>
      <c r="AF17" s="100"/>
      <c r="AG17" s="100"/>
      <c r="AH17" s="100"/>
      <c r="AI17" s="100"/>
      <c r="AJ17" s="12" t="s">
        <v>218</v>
      </c>
      <c r="AK17" s="6"/>
      <c r="AL17" s="6"/>
      <c r="AM17" s="6"/>
    </row>
    <row r="18" spans="1:39" ht="60">
      <c r="A18" s="15" t="s">
        <v>32</v>
      </c>
      <c r="B18" s="9" t="s">
        <v>33</v>
      </c>
      <c r="C18" s="9" t="s">
        <v>19</v>
      </c>
      <c r="D18" s="66">
        <v>15.606999999999999</v>
      </c>
      <c r="E18" s="66">
        <v>15.449</v>
      </c>
      <c r="F18" s="64">
        <v>13.615</v>
      </c>
      <c r="G18" s="97">
        <v>15.459</v>
      </c>
      <c r="H18" s="54" t="s">
        <v>118</v>
      </c>
      <c r="I18" s="54" t="s">
        <v>118</v>
      </c>
      <c r="J18" s="54">
        <v>15.468999999999999</v>
      </c>
      <c r="K18" s="54">
        <v>15.257999999999999</v>
      </c>
      <c r="L18" s="54">
        <v>15.257999999999999</v>
      </c>
      <c r="M18" s="54">
        <v>12.734999999999999</v>
      </c>
      <c r="N18" s="97">
        <v>15.257999999999999</v>
      </c>
      <c r="O18" s="54" t="s">
        <v>154</v>
      </c>
      <c r="P18" s="54">
        <v>15.268000000000001</v>
      </c>
      <c r="Q18" s="54">
        <v>15.268000000000001</v>
      </c>
      <c r="R18" s="54" t="s">
        <v>154</v>
      </c>
      <c r="S18" s="54">
        <v>15.268000000000001</v>
      </c>
      <c r="T18" s="54" t="s">
        <v>183</v>
      </c>
      <c r="U18" s="54">
        <f>12.735+(12.865-12.735)*2</f>
        <v>12.995000000000001</v>
      </c>
      <c r="V18" s="111">
        <f>N18+(V20-N20)+(V34-N34)/1000</f>
        <v>15.343999999999999</v>
      </c>
      <c r="W18" s="111">
        <f>N18+(W20-N20)+(W34-N34)/1000</f>
        <v>15.343999999999999</v>
      </c>
      <c r="X18" s="71" t="s">
        <v>141</v>
      </c>
      <c r="Y18" s="152">
        <f>W18+(Y20-W20)+(Y34-W34)/1000</f>
        <v>15.654</v>
      </c>
      <c r="Z18" s="152">
        <f t="shared" ref="Z18:AB18" si="7">Y18</f>
        <v>15.654</v>
      </c>
      <c r="AA18" s="152">
        <f t="shared" si="7"/>
        <v>15.654</v>
      </c>
      <c r="AB18" s="152">
        <f t="shared" si="7"/>
        <v>15.654</v>
      </c>
      <c r="AC18" s="99">
        <f>E18/D18</f>
        <v>0.98987633754084714</v>
      </c>
      <c r="AD18" s="99">
        <f>F18/E18</f>
        <v>0.88128681468056191</v>
      </c>
      <c r="AE18" s="99">
        <f>K18/F18</f>
        <v>1.1206757253029747</v>
      </c>
      <c r="AF18" s="100">
        <f>P18/K18</f>
        <v>1.0006553938917291</v>
      </c>
      <c r="AG18" s="100">
        <f>Y18/P18</f>
        <v>1.0252816347917213</v>
      </c>
      <c r="AH18" s="100">
        <f t="shared" si="5"/>
        <v>1</v>
      </c>
      <c r="AI18" s="100">
        <f t="shared" si="5"/>
        <v>1</v>
      </c>
      <c r="AJ18" s="12" t="s">
        <v>156</v>
      </c>
      <c r="AK18" s="112"/>
      <c r="AL18" s="6">
        <f>Z18/Y18</f>
        <v>1</v>
      </c>
    </row>
    <row r="19" spans="1:39" outlineLevel="1">
      <c r="A19" s="15"/>
      <c r="B19" s="9" t="s">
        <v>180</v>
      </c>
      <c r="C19" s="9"/>
      <c r="D19" s="66"/>
      <c r="E19" s="66"/>
      <c r="F19" s="64"/>
      <c r="G19" s="97"/>
      <c r="H19" s="11"/>
      <c r="I19" s="11"/>
      <c r="J19" s="11"/>
      <c r="K19" s="11"/>
      <c r="L19" s="11"/>
      <c r="M19" s="54"/>
      <c r="N19" s="97"/>
      <c r="O19" s="11"/>
      <c r="P19" s="11"/>
      <c r="Q19" s="11"/>
      <c r="R19" s="11"/>
      <c r="S19" s="11"/>
      <c r="T19" s="11"/>
      <c r="U19" s="54"/>
      <c r="V19" s="54"/>
      <c r="W19" s="54"/>
      <c r="X19" s="54"/>
      <c r="Y19" s="54"/>
      <c r="Z19" s="54"/>
      <c r="AA19" s="54"/>
      <c r="AB19" s="54"/>
      <c r="AC19" s="99"/>
      <c r="AD19" s="99"/>
      <c r="AE19" s="99"/>
      <c r="AF19" s="100"/>
      <c r="AG19" s="100"/>
      <c r="AH19" s="100"/>
      <c r="AI19" s="100"/>
      <c r="AJ19" s="101"/>
      <c r="AK19" s="112"/>
      <c r="AL19" s="6"/>
    </row>
    <row r="20" spans="1:39" ht="88.5" customHeight="1" outlineLevel="1">
      <c r="A20" s="15" t="s">
        <v>185</v>
      </c>
      <c r="B20" s="9" t="s">
        <v>186</v>
      </c>
      <c r="C20" s="9" t="s">
        <v>19</v>
      </c>
      <c r="D20" s="66"/>
      <c r="E20" s="113">
        <v>13.351000000000001</v>
      </c>
      <c r="F20" s="64"/>
      <c r="G20" s="54">
        <v>13.615</v>
      </c>
      <c r="H20" s="11"/>
      <c r="I20" s="11"/>
      <c r="J20" s="11"/>
      <c r="K20" s="11"/>
      <c r="L20" s="11"/>
      <c r="M20" s="54"/>
      <c r="N20" s="54">
        <v>12.734999999999999</v>
      </c>
      <c r="O20" s="11"/>
      <c r="P20" s="11"/>
      <c r="Q20" s="11"/>
      <c r="R20" s="11"/>
      <c r="S20" s="11"/>
      <c r="T20" s="11"/>
      <c r="U20" s="54"/>
      <c r="V20" s="54">
        <v>12.769</v>
      </c>
      <c r="W20" s="54">
        <v>12.769</v>
      </c>
      <c r="X20" s="149">
        <v>13.025</v>
      </c>
      <c r="Y20" s="151">
        <f>(V20-N20)+X20</f>
        <v>13.059000000000001</v>
      </c>
      <c r="Z20" s="151">
        <f>(Y20-V20)+Y20</f>
        <v>13.349000000000002</v>
      </c>
      <c r="AA20" s="151">
        <f t="shared" ref="AA20:AB20" si="8">(Z20-Y20)+Z20</f>
        <v>13.639000000000003</v>
      </c>
      <c r="AB20" s="151">
        <f t="shared" si="8"/>
        <v>13.929000000000004</v>
      </c>
      <c r="AC20" s="99"/>
      <c r="AD20" s="99"/>
      <c r="AE20" s="99"/>
      <c r="AF20" s="100"/>
      <c r="AG20" s="100"/>
      <c r="AH20" s="100"/>
      <c r="AI20" s="100"/>
      <c r="AJ20" s="12" t="s">
        <v>223</v>
      </c>
      <c r="AK20" s="112"/>
      <c r="AL20" s="6"/>
    </row>
    <row r="21" spans="1:39" ht="48" customHeight="1" outlineLevel="1">
      <c r="A21" s="15" t="s">
        <v>187</v>
      </c>
      <c r="B21" s="9" t="s">
        <v>188</v>
      </c>
      <c r="C21" s="9" t="s">
        <v>19</v>
      </c>
      <c r="D21" s="66"/>
      <c r="E21" s="113"/>
      <c r="F21" s="64"/>
      <c r="G21" s="114">
        <v>2.665</v>
      </c>
      <c r="H21" s="115"/>
      <c r="I21" s="115"/>
      <c r="J21" s="115"/>
      <c r="K21" s="115"/>
      <c r="L21" s="115"/>
      <c r="M21" s="115"/>
      <c r="N21" s="116">
        <v>2.64</v>
      </c>
      <c r="O21" s="115"/>
      <c r="P21" s="115"/>
      <c r="Q21" s="115"/>
      <c r="R21" s="115"/>
      <c r="S21" s="115"/>
      <c r="T21" s="115"/>
      <c r="U21" s="115"/>
      <c r="V21" s="117">
        <f>N21+(V34-N34)/1000</f>
        <v>2.6920000000000002</v>
      </c>
      <c r="W21" s="117">
        <f>N21+(W34-N34)/1000</f>
        <v>2.6920000000000002</v>
      </c>
      <c r="X21" s="71" t="s">
        <v>141</v>
      </c>
      <c r="Y21" s="117">
        <f>V21+(Y34-V34)/1000</f>
        <v>2.7120000000000002</v>
      </c>
      <c r="Z21" s="117">
        <f>Y21+(Z34-Y34)/1000</f>
        <v>2.7320000000000002</v>
      </c>
      <c r="AA21" s="117">
        <f>Z21+(AA34-Z34)/1000</f>
        <v>2.7520000000000002</v>
      </c>
      <c r="AB21" s="117">
        <f>AA21+(AB34-AA34)/1000</f>
        <v>2.7720000000000002</v>
      </c>
      <c r="AC21" s="99"/>
      <c r="AD21" s="99"/>
      <c r="AE21" s="99"/>
      <c r="AF21" s="100"/>
      <c r="AG21" s="100"/>
      <c r="AH21" s="100"/>
      <c r="AI21" s="100"/>
      <c r="AJ21" s="12" t="s">
        <v>156</v>
      </c>
      <c r="AK21" s="112"/>
      <c r="AL21" s="6"/>
    </row>
    <row r="22" spans="1:39" ht="45">
      <c r="A22" s="15" t="s">
        <v>34</v>
      </c>
      <c r="B22" s="9" t="s">
        <v>35</v>
      </c>
      <c r="C22" s="9"/>
      <c r="D22" s="24"/>
      <c r="E22" s="24"/>
      <c r="F22" s="49"/>
      <c r="G22" s="49"/>
      <c r="H22" s="49"/>
      <c r="I22" s="49"/>
      <c r="J22" s="49"/>
      <c r="K22" s="49"/>
      <c r="L22" s="49"/>
      <c r="M22" s="49"/>
      <c r="N22" s="49"/>
      <c r="O22" s="49"/>
      <c r="P22" s="49"/>
      <c r="Q22" s="49"/>
      <c r="R22" s="49"/>
      <c r="S22" s="49"/>
      <c r="T22" s="49"/>
      <c r="U22" s="49"/>
      <c r="V22" s="49"/>
      <c r="W22" s="49"/>
      <c r="X22" s="49"/>
      <c r="Y22" s="49"/>
      <c r="Z22" s="49"/>
      <c r="AA22" s="49"/>
      <c r="AB22" s="49"/>
      <c r="AC22" s="99"/>
      <c r="AD22" s="99"/>
      <c r="AE22" s="99"/>
      <c r="AF22" s="83"/>
      <c r="AG22" s="83"/>
      <c r="AH22" s="83"/>
      <c r="AI22" s="83"/>
      <c r="AJ22" s="108"/>
    </row>
    <row r="23" spans="1:39" ht="45">
      <c r="A23" s="15" t="s">
        <v>36</v>
      </c>
      <c r="B23" s="9" t="s">
        <v>37</v>
      </c>
      <c r="C23" s="9" t="s">
        <v>38</v>
      </c>
      <c r="D23" s="25">
        <v>49360.3</v>
      </c>
      <c r="E23" s="25">
        <v>57399.4</v>
      </c>
      <c r="F23" s="23">
        <v>62163.5</v>
      </c>
      <c r="G23" s="23">
        <v>62163.5</v>
      </c>
      <c r="H23" s="23" t="s">
        <v>128</v>
      </c>
      <c r="I23" s="23" t="s">
        <v>136</v>
      </c>
      <c r="J23" s="23">
        <v>65893.3</v>
      </c>
      <c r="K23" s="23">
        <v>67026.5</v>
      </c>
      <c r="L23" s="23">
        <v>66902.5</v>
      </c>
      <c r="M23" s="23">
        <v>66902.5</v>
      </c>
      <c r="N23" s="23">
        <v>66902.5</v>
      </c>
      <c r="O23" s="23" t="s">
        <v>155</v>
      </c>
      <c r="P23" s="13">
        <v>71048.100000000006</v>
      </c>
      <c r="Q23" s="13">
        <v>71048.100000000006</v>
      </c>
      <c r="R23" s="23">
        <v>72298</v>
      </c>
      <c r="S23" s="13">
        <v>71048.100000000006</v>
      </c>
      <c r="T23" s="13" t="s">
        <v>190</v>
      </c>
      <c r="U23" s="13">
        <v>71048.100000000006</v>
      </c>
      <c r="V23" s="13">
        <v>69776.5</v>
      </c>
      <c r="W23" s="13">
        <v>69776.5</v>
      </c>
      <c r="X23" s="71" t="s">
        <v>141</v>
      </c>
      <c r="Y23" s="13">
        <f>V23*0.985</f>
        <v>68729.852499999994</v>
      </c>
      <c r="Z23" s="13">
        <f>V23</f>
        <v>69776.5</v>
      </c>
      <c r="AA23" s="13">
        <f>Z23*1.03</f>
        <v>71869.794999999998</v>
      </c>
      <c r="AB23" s="13">
        <f>AA23*1.03</f>
        <v>74025.888850000003</v>
      </c>
      <c r="AC23" s="99">
        <f>E24/D24</f>
        <v>1.1548524550339931</v>
      </c>
      <c r="AD23" s="99">
        <f>F24/E24</f>
        <v>1.1900054009494301</v>
      </c>
      <c r="AE23" s="99">
        <f t="shared" ref="AE23:AE30" si="9">K23/F23</f>
        <v>1.0782291859370852</v>
      </c>
      <c r="AF23" s="100">
        <f t="shared" ref="AF23:AF30" si="10">P23/K23</f>
        <v>1.0600001491947215</v>
      </c>
      <c r="AG23" s="100">
        <f>Y23/P23</f>
        <v>0.96737073194075551</v>
      </c>
      <c r="AH23" s="100">
        <f t="shared" ref="AH23:AI23" si="11">Z23/Y23</f>
        <v>1.0152284263959392</v>
      </c>
      <c r="AI23" s="100">
        <f t="shared" si="11"/>
        <v>1.03</v>
      </c>
      <c r="AJ23" s="12" t="s">
        <v>156</v>
      </c>
      <c r="AL23" s="118">
        <f>Y15/Y18/12</f>
        <v>63.033098723409353</v>
      </c>
    </row>
    <row r="24" spans="1:39" ht="30">
      <c r="A24" s="15" t="s">
        <v>39</v>
      </c>
      <c r="B24" s="9" t="s">
        <v>40</v>
      </c>
      <c r="C24" s="119" t="s">
        <v>38</v>
      </c>
      <c r="D24" s="38">
        <v>30461.9</v>
      </c>
      <c r="E24" s="38">
        <v>35179</v>
      </c>
      <c r="F24" s="50">
        <v>41863.199999999997</v>
      </c>
      <c r="G24" s="50">
        <v>41863.199999999997</v>
      </c>
      <c r="H24" s="50">
        <v>46494.9</v>
      </c>
      <c r="I24" s="50">
        <v>42709.8</v>
      </c>
      <c r="J24" s="23">
        <v>44300</v>
      </c>
      <c r="K24" s="23">
        <v>44508.7</v>
      </c>
      <c r="L24" s="23">
        <v>44508.7</v>
      </c>
      <c r="M24" s="23">
        <v>44508.7</v>
      </c>
      <c r="N24" s="23">
        <v>44508.7</v>
      </c>
      <c r="O24" s="23">
        <v>52543.4</v>
      </c>
      <c r="P24" s="28">
        <v>46645.1</v>
      </c>
      <c r="Q24" s="28">
        <v>46645.1</v>
      </c>
      <c r="R24" s="23">
        <v>52543.4</v>
      </c>
      <c r="S24" s="28">
        <v>46645.1</v>
      </c>
      <c r="T24" s="28">
        <v>46664.9</v>
      </c>
      <c r="U24" s="28">
        <v>46645.1</v>
      </c>
      <c r="V24" s="120">
        <v>47916.800000000003</v>
      </c>
      <c r="W24" s="120">
        <v>47916.800000000003</v>
      </c>
      <c r="X24" s="71" t="s">
        <v>141</v>
      </c>
      <c r="Y24" s="28"/>
      <c r="Z24" s="120"/>
      <c r="AA24" s="120"/>
      <c r="AB24" s="120"/>
      <c r="AC24" s="99">
        <f t="shared" ref="AC24:AD30" si="12">E24/D24</f>
        <v>1.1548524550339931</v>
      </c>
      <c r="AD24" s="99">
        <f t="shared" si="12"/>
        <v>1.1900054009494301</v>
      </c>
      <c r="AE24" s="99">
        <f t="shared" si="9"/>
        <v>1.0631939268856656</v>
      </c>
      <c r="AF24" s="100">
        <f t="shared" si="10"/>
        <v>1.0479996045716906</v>
      </c>
      <c r="AG24" s="100"/>
      <c r="AH24" s="100"/>
      <c r="AI24" s="100"/>
      <c r="AJ24" s="89" t="s">
        <v>219</v>
      </c>
      <c r="AK24" s="6"/>
      <c r="AL24" s="6"/>
      <c r="AM24" s="6"/>
    </row>
    <row r="25" spans="1:39" ht="30">
      <c r="A25" s="15" t="s">
        <v>41</v>
      </c>
      <c r="B25" s="9" t="s">
        <v>107</v>
      </c>
      <c r="C25" s="119" t="s">
        <v>38</v>
      </c>
      <c r="D25" s="26"/>
      <c r="E25" s="26"/>
      <c r="F25" s="23">
        <v>47511.7</v>
      </c>
      <c r="G25" s="23">
        <v>47511.7</v>
      </c>
      <c r="H25" s="23">
        <v>57589.5</v>
      </c>
      <c r="I25" s="23">
        <v>50027.199999999997</v>
      </c>
      <c r="J25" s="23">
        <v>51075</v>
      </c>
      <c r="K25" s="23">
        <v>53010.5</v>
      </c>
      <c r="L25" s="23">
        <v>53010.5</v>
      </c>
      <c r="M25" s="23">
        <v>53010.5</v>
      </c>
      <c r="N25" s="23">
        <v>53010.5</v>
      </c>
      <c r="O25" s="23">
        <v>66852.899999999994</v>
      </c>
      <c r="P25" s="28">
        <v>55384.800000000003</v>
      </c>
      <c r="Q25" s="28">
        <v>55384.800000000003</v>
      </c>
      <c r="R25" s="23">
        <v>66852.899999999994</v>
      </c>
      <c r="S25" s="28">
        <v>55384.800000000003</v>
      </c>
      <c r="T25" s="28">
        <v>56412</v>
      </c>
      <c r="U25" s="28">
        <v>55384.800000000003</v>
      </c>
      <c r="V25" s="28">
        <v>58491.4</v>
      </c>
      <c r="W25" s="28">
        <v>58491.4</v>
      </c>
      <c r="X25" s="71" t="s">
        <v>141</v>
      </c>
      <c r="Y25" s="28"/>
      <c r="Z25" s="120"/>
      <c r="AA25" s="120"/>
      <c r="AB25" s="120"/>
      <c r="AC25" s="99" t="e">
        <f t="shared" si="12"/>
        <v>#DIV/0!</v>
      </c>
      <c r="AD25" s="99" t="e">
        <f t="shared" si="12"/>
        <v>#DIV/0!</v>
      </c>
      <c r="AE25" s="99">
        <f t="shared" si="9"/>
        <v>1.1157357029952624</v>
      </c>
      <c r="AF25" s="100">
        <f t="shared" si="10"/>
        <v>1.0447892398675735</v>
      </c>
      <c r="AG25" s="100"/>
      <c r="AH25" s="100"/>
      <c r="AI25" s="100"/>
      <c r="AJ25" s="89" t="s">
        <v>219</v>
      </c>
      <c r="AK25" s="6"/>
      <c r="AL25" s="6"/>
      <c r="AM25" s="6"/>
    </row>
    <row r="26" spans="1:39" ht="30">
      <c r="A26" s="15" t="s">
        <v>42</v>
      </c>
      <c r="B26" s="9" t="s">
        <v>43</v>
      </c>
      <c r="C26" s="9" t="s">
        <v>38</v>
      </c>
      <c r="D26" s="26">
        <v>44123.7</v>
      </c>
      <c r="E26" s="26">
        <v>48771.4</v>
      </c>
      <c r="F26" s="23">
        <v>55030</v>
      </c>
      <c r="G26" s="23">
        <v>55030</v>
      </c>
      <c r="H26" s="23">
        <v>72291</v>
      </c>
      <c r="I26" s="23">
        <v>59256.2</v>
      </c>
      <c r="J26" s="23">
        <v>59256.2</v>
      </c>
      <c r="K26" s="23">
        <v>59939.5</v>
      </c>
      <c r="L26" s="23">
        <v>59939.5</v>
      </c>
      <c r="M26" s="23">
        <v>59939.5</v>
      </c>
      <c r="N26" s="23">
        <v>59939.5</v>
      </c>
      <c r="O26" s="23">
        <v>83084.3</v>
      </c>
      <c r="P26" s="28">
        <v>62816.6</v>
      </c>
      <c r="Q26" s="28">
        <v>62816.6</v>
      </c>
      <c r="R26" s="23">
        <v>83084.3</v>
      </c>
      <c r="S26" s="28">
        <v>62816.6</v>
      </c>
      <c r="T26" s="28">
        <v>64972.61</v>
      </c>
      <c r="U26" s="28">
        <v>62816.6</v>
      </c>
      <c r="V26" s="13">
        <v>65211.199999999997</v>
      </c>
      <c r="W26" s="13">
        <v>65211.199999999997</v>
      </c>
      <c r="X26" s="71" t="s">
        <v>141</v>
      </c>
      <c r="Y26" s="28"/>
      <c r="Z26" s="28"/>
      <c r="AA26" s="28"/>
      <c r="AB26" s="28"/>
      <c r="AC26" s="99">
        <f t="shared" si="12"/>
        <v>1.1053334149221394</v>
      </c>
      <c r="AD26" s="99">
        <f t="shared" si="12"/>
        <v>1.1283252069860614</v>
      </c>
      <c r="AE26" s="99">
        <f t="shared" si="9"/>
        <v>1.0892149736507359</v>
      </c>
      <c r="AF26" s="100">
        <f t="shared" si="10"/>
        <v>1.0480000667339566</v>
      </c>
      <c r="AG26" s="100"/>
      <c r="AH26" s="100"/>
      <c r="AI26" s="100"/>
      <c r="AJ26" s="89" t="s">
        <v>219</v>
      </c>
      <c r="AK26" s="6"/>
      <c r="AL26" s="6"/>
      <c r="AM26" s="6"/>
    </row>
    <row r="27" spans="1:39" ht="30">
      <c r="A27" s="15" t="s">
        <v>44</v>
      </c>
      <c r="B27" s="9" t="s">
        <v>45</v>
      </c>
      <c r="C27" s="9" t="s">
        <v>38</v>
      </c>
      <c r="D27" s="26"/>
      <c r="E27" s="25"/>
      <c r="F27" s="23">
        <v>63437.4</v>
      </c>
      <c r="G27" s="23">
        <v>63437.4</v>
      </c>
      <c r="H27" s="23">
        <v>87439</v>
      </c>
      <c r="I27" s="23">
        <v>68457.8</v>
      </c>
      <c r="J27" s="23">
        <v>68457.8</v>
      </c>
      <c r="K27" s="23">
        <v>69030.399999999994</v>
      </c>
      <c r="L27" s="23">
        <v>69030.399999999994</v>
      </c>
      <c r="M27" s="23">
        <v>69030.399999999994</v>
      </c>
      <c r="N27" s="23">
        <v>69030.399999999994</v>
      </c>
      <c r="O27" s="23">
        <v>99256.7</v>
      </c>
      <c r="P27" s="28">
        <f>K27/K28*P28</f>
        <v>72343.818868400049</v>
      </c>
      <c r="Q27" s="28">
        <v>72343.8</v>
      </c>
      <c r="R27" s="23">
        <v>99256.7</v>
      </c>
      <c r="S27" s="28">
        <v>72343.8</v>
      </c>
      <c r="T27" s="28">
        <v>74506.399999999994</v>
      </c>
      <c r="U27" s="28">
        <v>72343.8</v>
      </c>
      <c r="V27" s="28">
        <v>74513</v>
      </c>
      <c r="W27" s="28">
        <v>74513</v>
      </c>
      <c r="X27" s="71" t="s">
        <v>141</v>
      </c>
      <c r="Y27" s="28"/>
      <c r="Z27" s="28"/>
      <c r="AA27" s="28"/>
      <c r="AB27" s="28"/>
      <c r="AC27" s="99" t="e">
        <f t="shared" si="12"/>
        <v>#DIV/0!</v>
      </c>
      <c r="AD27" s="99" t="e">
        <f t="shared" si="12"/>
        <v>#DIV/0!</v>
      </c>
      <c r="AE27" s="99">
        <f t="shared" si="9"/>
        <v>1.0881656562217239</v>
      </c>
      <c r="AF27" s="100">
        <f t="shared" si="10"/>
        <v>1.0479994157414712</v>
      </c>
      <c r="AG27" s="100"/>
      <c r="AH27" s="100"/>
      <c r="AI27" s="100"/>
      <c r="AJ27" s="89" t="s">
        <v>219</v>
      </c>
      <c r="AK27" s="6"/>
      <c r="AL27" s="6"/>
      <c r="AM27" s="6"/>
    </row>
    <row r="28" spans="1:39" ht="30">
      <c r="A28" s="15" t="s">
        <v>46</v>
      </c>
      <c r="B28" s="9" t="s">
        <v>47</v>
      </c>
      <c r="C28" s="9" t="s">
        <v>38</v>
      </c>
      <c r="D28" s="26">
        <v>48736.4</v>
      </c>
      <c r="E28" s="26">
        <v>53870</v>
      </c>
      <c r="F28" s="23">
        <v>65066.7</v>
      </c>
      <c r="G28" s="23">
        <v>65066.7</v>
      </c>
      <c r="H28" s="23">
        <v>89805</v>
      </c>
      <c r="I28" s="23">
        <v>69434.3</v>
      </c>
      <c r="J28" s="23">
        <v>69434.3</v>
      </c>
      <c r="K28" s="23">
        <v>69832.100000000006</v>
      </c>
      <c r="L28" s="23">
        <v>69832.100000000006</v>
      </c>
      <c r="M28" s="23">
        <v>69832.100000000006</v>
      </c>
      <c r="N28" s="23">
        <v>69832.100000000006</v>
      </c>
      <c r="O28" s="23">
        <v>100093.3</v>
      </c>
      <c r="P28" s="28">
        <v>73184</v>
      </c>
      <c r="Q28" s="28">
        <v>73184</v>
      </c>
      <c r="R28" s="23">
        <v>100093.3</v>
      </c>
      <c r="S28" s="28">
        <v>73184</v>
      </c>
      <c r="T28" s="28">
        <v>74282.7</v>
      </c>
      <c r="U28" s="28">
        <v>73184</v>
      </c>
      <c r="V28" s="13">
        <v>74150.899999999994</v>
      </c>
      <c r="W28" s="13">
        <v>74150.899999999994</v>
      </c>
      <c r="X28" s="71" t="s">
        <v>141</v>
      </c>
      <c r="Y28" s="28"/>
      <c r="Z28" s="28"/>
      <c r="AA28" s="28"/>
      <c r="AB28" s="28"/>
      <c r="AC28" s="99">
        <f t="shared" si="12"/>
        <v>1.1053340008699863</v>
      </c>
      <c r="AD28" s="99">
        <f t="shared" si="12"/>
        <v>1.2078466679042137</v>
      </c>
      <c r="AE28" s="99">
        <f t="shared" si="9"/>
        <v>1.0732386919883752</v>
      </c>
      <c r="AF28" s="100">
        <f t="shared" si="10"/>
        <v>1.0479994157414712</v>
      </c>
      <c r="AG28" s="100"/>
      <c r="AH28" s="100"/>
      <c r="AI28" s="100"/>
      <c r="AJ28" s="89" t="s">
        <v>219</v>
      </c>
      <c r="AK28" s="6"/>
      <c r="AL28" s="6"/>
      <c r="AM28" s="6"/>
    </row>
    <row r="29" spans="1:39" ht="30">
      <c r="A29" s="15" t="s">
        <v>48</v>
      </c>
      <c r="B29" s="9" t="s">
        <v>49</v>
      </c>
      <c r="C29" s="9" t="s">
        <v>38</v>
      </c>
      <c r="D29" s="23">
        <v>40098.400000000001</v>
      </c>
      <c r="E29" s="23">
        <v>42642</v>
      </c>
      <c r="F29" s="23">
        <v>60058</v>
      </c>
      <c r="G29" s="23">
        <v>60058</v>
      </c>
      <c r="H29" s="23" t="s">
        <v>126</v>
      </c>
      <c r="I29" s="23">
        <v>63906</v>
      </c>
      <c r="J29" s="23">
        <f>F29*1.05</f>
        <v>63060.9</v>
      </c>
      <c r="K29" s="23">
        <v>68621.399999999994</v>
      </c>
      <c r="L29" s="23">
        <v>68621.399999999994</v>
      </c>
      <c r="M29" s="23">
        <v>68621.399999999994</v>
      </c>
      <c r="N29" s="23">
        <v>68621.399999999994</v>
      </c>
      <c r="O29" s="28">
        <v>0</v>
      </c>
      <c r="P29" s="28">
        <v>0</v>
      </c>
      <c r="Q29" s="28">
        <v>0</v>
      </c>
      <c r="R29" s="28">
        <v>0</v>
      </c>
      <c r="S29" s="28">
        <v>0</v>
      </c>
      <c r="T29" s="28">
        <v>0</v>
      </c>
      <c r="U29" s="28">
        <v>0</v>
      </c>
      <c r="V29" s="28">
        <v>0</v>
      </c>
      <c r="W29" s="28">
        <v>0</v>
      </c>
      <c r="X29" s="71" t="s">
        <v>141</v>
      </c>
      <c r="Y29" s="28"/>
      <c r="Z29" s="28"/>
      <c r="AA29" s="28"/>
      <c r="AB29" s="28"/>
      <c r="AC29" s="99">
        <f t="shared" si="12"/>
        <v>1.0634339524769068</v>
      </c>
      <c r="AD29" s="99">
        <f t="shared" si="12"/>
        <v>1.4084236199052578</v>
      </c>
      <c r="AE29" s="99">
        <f t="shared" si="9"/>
        <v>1.1425855006826733</v>
      </c>
      <c r="AF29" s="100">
        <f t="shared" si="10"/>
        <v>0</v>
      </c>
      <c r="AG29" s="100"/>
      <c r="AH29" s="100"/>
      <c r="AI29" s="100"/>
      <c r="AJ29" s="89" t="s">
        <v>192</v>
      </c>
      <c r="AK29" s="6"/>
      <c r="AL29" s="6"/>
      <c r="AM29" s="6"/>
    </row>
    <row r="30" spans="1:39" ht="30">
      <c r="A30" s="16" t="s">
        <v>50</v>
      </c>
      <c r="B30" s="9" t="s">
        <v>51</v>
      </c>
      <c r="C30" s="9" t="s">
        <v>38</v>
      </c>
      <c r="D30" s="11"/>
      <c r="E30" s="11">
        <v>34816.9</v>
      </c>
      <c r="F30" s="28">
        <v>41547.9</v>
      </c>
      <c r="G30" s="28">
        <v>41547.9</v>
      </c>
      <c r="H30" s="28" t="s">
        <v>127</v>
      </c>
      <c r="I30" s="28">
        <v>50871</v>
      </c>
      <c r="J30" s="28">
        <v>50871</v>
      </c>
      <c r="K30" s="28">
        <v>52214.5</v>
      </c>
      <c r="L30" s="28">
        <v>52214.5</v>
      </c>
      <c r="M30" s="28">
        <v>52214.5</v>
      </c>
      <c r="N30" s="28">
        <v>52214.5</v>
      </c>
      <c r="O30" s="28">
        <v>57667.9</v>
      </c>
      <c r="P30" s="28">
        <v>57720.800000000003</v>
      </c>
      <c r="Q30" s="28">
        <v>57720.800000000003</v>
      </c>
      <c r="R30" s="28">
        <v>57667.9</v>
      </c>
      <c r="S30" s="28">
        <v>57720.800000000003</v>
      </c>
      <c r="T30" s="28">
        <v>60135.7</v>
      </c>
      <c r="U30" s="28">
        <v>57720.800000000003</v>
      </c>
      <c r="V30" s="13">
        <v>48850.3</v>
      </c>
      <c r="W30" s="13">
        <v>48850.3</v>
      </c>
      <c r="X30" s="71" t="s">
        <v>141</v>
      </c>
      <c r="Y30" s="28"/>
      <c r="Z30" s="28"/>
      <c r="AA30" s="28"/>
      <c r="AB30" s="28"/>
      <c r="AC30" s="99" t="e">
        <f t="shared" si="12"/>
        <v>#DIV/0!</v>
      </c>
      <c r="AD30" s="99">
        <f t="shared" si="12"/>
        <v>1.1933256550698081</v>
      </c>
      <c r="AE30" s="99">
        <f t="shared" si="9"/>
        <v>1.256730183715663</v>
      </c>
      <c r="AF30" s="100">
        <f t="shared" si="10"/>
        <v>1.1054553811680663</v>
      </c>
      <c r="AG30" s="100"/>
      <c r="AH30" s="100"/>
      <c r="AI30" s="100"/>
      <c r="AJ30" s="89" t="s">
        <v>219</v>
      </c>
      <c r="AK30" s="6"/>
      <c r="AL30" s="6"/>
      <c r="AM30" s="6"/>
    </row>
    <row r="31" spans="1:39">
      <c r="A31" s="16" t="s">
        <v>52</v>
      </c>
      <c r="B31" s="107" t="s">
        <v>53</v>
      </c>
      <c r="C31" s="9"/>
      <c r="D31" s="60"/>
      <c r="E31" s="60"/>
      <c r="F31" s="93"/>
      <c r="G31" s="93"/>
      <c r="H31" s="93"/>
      <c r="I31" s="93"/>
      <c r="J31" s="93"/>
      <c r="K31" s="93"/>
      <c r="L31" s="93"/>
      <c r="M31" s="94"/>
      <c r="N31" s="94"/>
      <c r="O31" s="93"/>
      <c r="P31" s="93"/>
      <c r="Q31" s="93"/>
      <c r="R31" s="93"/>
      <c r="S31" s="93"/>
      <c r="T31" s="93"/>
      <c r="U31" s="93"/>
      <c r="V31" s="93"/>
      <c r="W31" s="93"/>
      <c r="X31" s="93"/>
      <c r="Y31" s="93"/>
      <c r="Z31" s="94"/>
      <c r="AA31" s="94"/>
      <c r="AB31" s="94"/>
      <c r="AC31" s="99"/>
      <c r="AD31" s="99"/>
      <c r="AE31" s="99"/>
      <c r="AF31" s="121"/>
      <c r="AG31" s="121"/>
      <c r="AH31" s="121"/>
      <c r="AI31" s="121"/>
      <c r="AJ31" s="108"/>
      <c r="AK31" s="6"/>
      <c r="AL31" s="6"/>
      <c r="AM31" s="6"/>
    </row>
    <row r="32" spans="1:39" s="4" customFormat="1" ht="52.5" customHeight="1">
      <c r="A32" s="16" t="s">
        <v>54</v>
      </c>
      <c r="B32" s="9" t="s">
        <v>55</v>
      </c>
      <c r="C32" s="122" t="s">
        <v>56</v>
      </c>
      <c r="D32" s="51">
        <f t="shared" ref="D32:E32" si="13">D33*100/10/D10</f>
        <v>379.79852981214265</v>
      </c>
      <c r="E32" s="51">
        <f t="shared" si="13"/>
        <v>413.79614909026679</v>
      </c>
      <c r="F32" s="51">
        <f>F33*100/10/F10</f>
        <v>442.74545376009678</v>
      </c>
      <c r="G32" s="123">
        <f>G33*100/10/G10</f>
        <v>433.24262450866053</v>
      </c>
      <c r="H32" s="51" t="s">
        <v>124</v>
      </c>
      <c r="I32" s="124" t="s">
        <v>141</v>
      </c>
      <c r="J32" s="51">
        <f t="shared" ref="J32" si="14">J33*100/10/J10</f>
        <v>444.4229992711463</v>
      </c>
      <c r="K32" s="51">
        <f>K33*100/10/K10</f>
        <v>552.71497992816387</v>
      </c>
      <c r="L32" s="51">
        <f t="shared" ref="L32:N32" si="15">L33*100/10/L10</f>
        <v>552.71497992816398</v>
      </c>
      <c r="M32" s="51">
        <f t="shared" si="15"/>
        <v>552.71497992816398</v>
      </c>
      <c r="N32" s="123">
        <f t="shared" si="15"/>
        <v>418.33931967039933</v>
      </c>
      <c r="O32" s="71" t="s">
        <v>141</v>
      </c>
      <c r="P32" s="51">
        <f t="shared" ref="P32:AB32" si="16">P33*100/10/P10</f>
        <v>553.04318964444246</v>
      </c>
      <c r="Q32" s="51">
        <f t="shared" si="16"/>
        <v>553.04318964444258</v>
      </c>
      <c r="R32" s="71" t="s">
        <v>141</v>
      </c>
      <c r="S32" s="51">
        <f t="shared" si="16"/>
        <v>553.04318964444258</v>
      </c>
      <c r="T32" s="124" t="s">
        <v>141</v>
      </c>
      <c r="U32" s="51">
        <f t="shared" si="16"/>
        <v>556.73690747093053</v>
      </c>
      <c r="V32" s="51">
        <f t="shared" si="16"/>
        <v>438.58563353550358</v>
      </c>
      <c r="W32" s="51">
        <f t="shared" ref="W32" si="17">W33*100/10/W10</f>
        <v>438.58563353550358</v>
      </c>
      <c r="X32" s="71" t="s">
        <v>141</v>
      </c>
      <c r="Y32" s="51">
        <f t="shared" si="16"/>
        <v>440.61920503104085</v>
      </c>
      <c r="Z32" s="51">
        <f t="shared" si="16"/>
        <v>442.26141160689627</v>
      </c>
      <c r="AA32" s="51">
        <f t="shared" si="16"/>
        <v>442.67614338689737</v>
      </c>
      <c r="AB32" s="51">
        <f t="shared" si="16"/>
        <v>446.65674943738799</v>
      </c>
      <c r="AC32" s="99">
        <f>E32/D32</f>
        <v>1.0895148785724373</v>
      </c>
      <c r="AD32" s="99">
        <f>F32/E32</f>
        <v>1.0699603046898218</v>
      </c>
      <c r="AE32" s="99">
        <f t="shared" ref="AE32:AE37" si="18">K32/F32</f>
        <v>1.2483809268601875</v>
      </c>
      <c r="AF32" s="100">
        <f t="shared" ref="AF32:AF37" si="19">P32/K32</f>
        <v>1.0005938136801018</v>
      </c>
      <c r="AG32" s="100">
        <f t="shared" ref="AG32:AG37" si="20">Y32/P32</f>
        <v>0.79671753179768789</v>
      </c>
      <c r="AH32" s="100">
        <f t="shared" ref="AH32:AI37" si="21">Z32/Y32</f>
        <v>1.0037270426642881</v>
      </c>
      <c r="AI32" s="100">
        <f t="shared" si="21"/>
        <v>1.0009377525805252</v>
      </c>
      <c r="AJ32" s="12" t="s">
        <v>57</v>
      </c>
      <c r="AK32" s="6"/>
      <c r="AL32" s="6"/>
      <c r="AM32" s="6"/>
    </row>
    <row r="33" spans="1:39" ht="45" outlineLevel="1">
      <c r="A33" s="17"/>
      <c r="B33" s="125" t="s">
        <v>194</v>
      </c>
      <c r="C33" s="126" t="s">
        <v>108</v>
      </c>
      <c r="D33" s="40">
        <f>229+608</f>
        <v>837</v>
      </c>
      <c r="E33" s="40">
        <f>222+715</f>
        <v>937</v>
      </c>
      <c r="F33" s="40">
        <v>1025</v>
      </c>
      <c r="G33" s="127">
        <f>359+644</f>
        <v>1003</v>
      </c>
      <c r="H33" s="128"/>
      <c r="I33" s="124" t="s">
        <v>141</v>
      </c>
      <c r="J33" s="128">
        <f>F33+25</f>
        <v>1050</v>
      </c>
      <c r="K33" s="128">
        <v>1308</v>
      </c>
      <c r="L33" s="128">
        <v>1308</v>
      </c>
      <c r="M33" s="128">
        <v>1308</v>
      </c>
      <c r="N33" s="127">
        <f>354+636</f>
        <v>990</v>
      </c>
      <c r="O33" s="71" t="s">
        <v>141</v>
      </c>
      <c r="P33" s="128">
        <v>1333</v>
      </c>
      <c r="Q33" s="128">
        <v>1333</v>
      </c>
      <c r="R33" s="71" t="s">
        <v>141</v>
      </c>
      <c r="S33" s="128">
        <v>1333</v>
      </c>
      <c r="T33" s="129" t="s">
        <v>141</v>
      </c>
      <c r="U33" s="128">
        <v>1345</v>
      </c>
      <c r="V33" s="128">
        <f>375+688</f>
        <v>1063</v>
      </c>
      <c r="W33" s="128">
        <f>375+688</f>
        <v>1063</v>
      </c>
      <c r="X33" s="71" t="s">
        <v>141</v>
      </c>
      <c r="Y33" s="128">
        <f>V33+30</f>
        <v>1093</v>
      </c>
      <c r="Z33" s="128">
        <f>Y33+28</f>
        <v>1121</v>
      </c>
      <c r="AA33" s="128">
        <f>Z33+25</f>
        <v>1146</v>
      </c>
      <c r="AB33" s="128">
        <f>AA33+25</f>
        <v>1171</v>
      </c>
      <c r="AC33" s="99"/>
      <c r="AD33" s="99"/>
      <c r="AE33" s="99">
        <f t="shared" si="18"/>
        <v>1.2760975609756098</v>
      </c>
      <c r="AF33" s="100">
        <f t="shared" si="19"/>
        <v>1.0191131498470949</v>
      </c>
      <c r="AG33" s="100">
        <f t="shared" si="20"/>
        <v>0.81995498874718675</v>
      </c>
      <c r="AH33" s="100">
        <f t="shared" si="21"/>
        <v>1.0256175663311986</v>
      </c>
      <c r="AI33" s="100">
        <f t="shared" si="21"/>
        <v>1.0223015165031222</v>
      </c>
      <c r="AJ33" s="101" t="s">
        <v>217</v>
      </c>
      <c r="AK33" s="135" t="s">
        <v>220</v>
      </c>
      <c r="AL33" s="6"/>
      <c r="AM33" s="6"/>
    </row>
    <row r="34" spans="1:39" ht="65.25" customHeight="1" outlineLevel="1">
      <c r="A34" s="17"/>
      <c r="B34" s="125" t="s">
        <v>113</v>
      </c>
      <c r="C34" s="126" t="s">
        <v>108</v>
      </c>
      <c r="D34" s="40">
        <v>671</v>
      </c>
      <c r="E34" s="40">
        <v>697</v>
      </c>
      <c r="F34" s="40">
        <v>675</v>
      </c>
      <c r="G34" s="127">
        <v>644</v>
      </c>
      <c r="H34" s="128"/>
      <c r="I34" s="124" t="s">
        <v>141</v>
      </c>
      <c r="J34" s="128">
        <v>685</v>
      </c>
      <c r="K34" s="128">
        <v>850</v>
      </c>
      <c r="L34" s="128">
        <v>850</v>
      </c>
      <c r="M34" s="128">
        <v>850</v>
      </c>
      <c r="N34" s="127">
        <v>636</v>
      </c>
      <c r="O34" s="71" t="s">
        <v>141</v>
      </c>
      <c r="P34" s="128">
        <v>870</v>
      </c>
      <c r="Q34" s="128">
        <v>870</v>
      </c>
      <c r="R34" s="71" t="s">
        <v>141</v>
      </c>
      <c r="S34" s="128">
        <v>870</v>
      </c>
      <c r="T34" s="129" t="s">
        <v>141</v>
      </c>
      <c r="U34" s="128">
        <v>870</v>
      </c>
      <c r="V34" s="128">
        <v>688</v>
      </c>
      <c r="W34" s="128">
        <v>688</v>
      </c>
      <c r="X34" s="71" t="s">
        <v>141</v>
      </c>
      <c r="Y34" s="128">
        <f>V34+20</f>
        <v>708</v>
      </c>
      <c r="Z34" s="128">
        <f t="shared" ref="Z34:AB34" si="22">Y34+20</f>
        <v>728</v>
      </c>
      <c r="AA34" s="128">
        <f t="shared" si="22"/>
        <v>748</v>
      </c>
      <c r="AB34" s="128">
        <f t="shared" si="22"/>
        <v>768</v>
      </c>
      <c r="AC34" s="99"/>
      <c r="AD34" s="99"/>
      <c r="AE34" s="99">
        <f t="shared" si="18"/>
        <v>1.2592592592592593</v>
      </c>
      <c r="AF34" s="100">
        <f t="shared" si="19"/>
        <v>1.0235294117647058</v>
      </c>
      <c r="AG34" s="100">
        <f t="shared" si="20"/>
        <v>0.81379310344827582</v>
      </c>
      <c r="AH34" s="100">
        <f t="shared" si="21"/>
        <v>1.0282485875706215</v>
      </c>
      <c r="AI34" s="100">
        <f t="shared" si="21"/>
        <v>1.0274725274725274</v>
      </c>
      <c r="AJ34" s="101" t="s">
        <v>224</v>
      </c>
      <c r="AK34" s="135" t="s">
        <v>221</v>
      </c>
      <c r="AL34" s="6"/>
      <c r="AM34" s="6"/>
    </row>
    <row r="35" spans="1:39" ht="33" customHeight="1">
      <c r="A35" s="18"/>
      <c r="B35" s="9" t="s">
        <v>58</v>
      </c>
      <c r="C35" s="122" t="s">
        <v>56</v>
      </c>
      <c r="D35" s="10">
        <f>D34/D10*10</f>
        <v>304.47409020782283</v>
      </c>
      <c r="E35" s="51">
        <f t="shared" ref="E35:P35" si="23">E34/E10*10</f>
        <v>307.80780780780782</v>
      </c>
      <c r="F35" s="51">
        <f t="shared" si="23"/>
        <v>291.56407930542957</v>
      </c>
      <c r="G35" s="123">
        <f t="shared" si="23"/>
        <v>278.17372899658761</v>
      </c>
      <c r="H35" s="51" t="s">
        <v>125</v>
      </c>
      <c r="I35" s="124" t="s">
        <v>141</v>
      </c>
      <c r="J35" s="51">
        <f t="shared" si="23"/>
        <v>289.93309952450971</v>
      </c>
      <c r="K35" s="51">
        <f t="shared" si="23"/>
        <v>359.18022395943376</v>
      </c>
      <c r="L35" s="51">
        <f t="shared" si="23"/>
        <v>359.18022395943376</v>
      </c>
      <c r="M35" s="51">
        <f t="shared" si="23"/>
        <v>359.18022395943376</v>
      </c>
      <c r="N35" s="123">
        <f t="shared" si="23"/>
        <v>268.7513205155293</v>
      </c>
      <c r="O35" s="71" t="s">
        <v>141</v>
      </c>
      <c r="P35" s="51">
        <f t="shared" si="23"/>
        <v>360.95091897274187</v>
      </c>
      <c r="Q35" s="51">
        <f t="shared" ref="Q35" si="24">P35</f>
        <v>360.95091897274187</v>
      </c>
      <c r="R35" s="71" t="s">
        <v>141</v>
      </c>
      <c r="S35" s="51">
        <f t="shared" ref="S35:AB35" si="25">S34/S10*10</f>
        <v>360.95091897274193</v>
      </c>
      <c r="T35" s="124" t="s">
        <v>141</v>
      </c>
      <c r="U35" s="51">
        <f t="shared" si="25"/>
        <v>360.11978401465399</v>
      </c>
      <c r="V35" s="51">
        <f t="shared" si="25"/>
        <v>283.86351446136075</v>
      </c>
      <c r="W35" s="51">
        <f t="shared" ref="W35" si="26">W34/W10*10</f>
        <v>283.86351446136075</v>
      </c>
      <c r="X35" s="71" t="s">
        <v>141</v>
      </c>
      <c r="Y35" s="51">
        <f t="shared" si="25"/>
        <v>285.41481899540435</v>
      </c>
      <c r="Z35" s="51">
        <f t="shared" si="25"/>
        <v>287.21347694007181</v>
      </c>
      <c r="AA35" s="51">
        <f t="shared" si="25"/>
        <v>288.93695920889985</v>
      </c>
      <c r="AB35" s="51">
        <f t="shared" si="25"/>
        <v>292.93969561734752</v>
      </c>
      <c r="AC35" s="99">
        <f t="shared" ref="AC35:AD37" si="27">E35/D35</f>
        <v>1.0109491011130356</v>
      </c>
      <c r="AD35" s="99">
        <f t="shared" si="27"/>
        <v>0.94722769179227362</v>
      </c>
      <c r="AE35" s="99">
        <f t="shared" si="18"/>
        <v>1.2319083503533113</v>
      </c>
      <c r="AF35" s="100">
        <f t="shared" si="19"/>
        <v>1.0049298232341102</v>
      </c>
      <c r="AG35" s="100">
        <f t="shared" si="20"/>
        <v>0.79073027382140604</v>
      </c>
      <c r="AH35" s="100">
        <f t="shared" si="21"/>
        <v>1.0063019080473758</v>
      </c>
      <c r="AI35" s="100">
        <f t="shared" si="21"/>
        <v>1.0060007012456023</v>
      </c>
      <c r="AJ35" s="101" t="s">
        <v>57</v>
      </c>
      <c r="AK35" s="6"/>
      <c r="AL35" s="6"/>
      <c r="AM35" s="6"/>
    </row>
    <row r="36" spans="1:39" ht="50.25" customHeight="1">
      <c r="A36" s="18" t="s">
        <v>59</v>
      </c>
      <c r="B36" s="9" t="s">
        <v>60</v>
      </c>
      <c r="C36" s="9" t="s">
        <v>19</v>
      </c>
      <c r="D36" s="41">
        <v>0.59399999999999997</v>
      </c>
      <c r="E36" s="41">
        <f t="shared" ref="E36:AB36" si="28">PRODUCT(D36*1.05)</f>
        <v>0.62370000000000003</v>
      </c>
      <c r="F36" s="41">
        <f>PRODUCT(E36*1.05)</f>
        <v>0.65488500000000005</v>
      </c>
      <c r="G36" s="41">
        <f>PRODUCT(E36*1.05)</f>
        <v>0.65488500000000005</v>
      </c>
      <c r="H36" s="42" t="s">
        <v>115</v>
      </c>
      <c r="I36" s="39" t="s">
        <v>141</v>
      </c>
      <c r="J36" s="41">
        <f>PRODUCT(F36*1.05)</f>
        <v>0.68762925000000008</v>
      </c>
      <c r="K36" s="41">
        <f>PRODUCT(F36*1.05)</f>
        <v>0.68762925000000008</v>
      </c>
      <c r="L36" s="41">
        <f>F36*1.05</f>
        <v>0.68762925000000008</v>
      </c>
      <c r="M36" s="41">
        <f>F36*1.05</f>
        <v>0.68762925000000008</v>
      </c>
      <c r="N36" s="41">
        <f>G36*1.05</f>
        <v>0.68762925000000008</v>
      </c>
      <c r="O36" s="71" t="s">
        <v>141</v>
      </c>
      <c r="P36" s="41">
        <f>PRODUCT(K36*1.05)</f>
        <v>0.72201071250000015</v>
      </c>
      <c r="Q36" s="41">
        <f>PRODUCT(K36*1.05)</f>
        <v>0.72201071250000015</v>
      </c>
      <c r="R36" s="71" t="s">
        <v>141</v>
      </c>
      <c r="S36" s="41">
        <f>L36*1.051</f>
        <v>0.72269834175000003</v>
      </c>
      <c r="T36" s="124" t="s">
        <v>141</v>
      </c>
      <c r="U36" s="41">
        <f>M36*1.051</f>
        <v>0.72269834175000003</v>
      </c>
      <c r="V36" s="41">
        <f>N36*1.051</f>
        <v>0.72269834175000003</v>
      </c>
      <c r="W36" s="41">
        <f>N36*1.051</f>
        <v>0.72269834175000003</v>
      </c>
      <c r="X36" s="71" t="s">
        <v>141</v>
      </c>
      <c r="Y36" s="41">
        <f>PRODUCT(Q36*1.05)</f>
        <v>0.75811124812500019</v>
      </c>
      <c r="Z36" s="41">
        <f t="shared" si="28"/>
        <v>0.79601681053125029</v>
      </c>
      <c r="AA36" s="41">
        <f t="shared" si="28"/>
        <v>0.8358176510578128</v>
      </c>
      <c r="AB36" s="41">
        <f t="shared" si="28"/>
        <v>0.87760853361070346</v>
      </c>
      <c r="AC36" s="99">
        <f t="shared" si="27"/>
        <v>1.05</v>
      </c>
      <c r="AD36" s="99">
        <f t="shared" si="27"/>
        <v>1.05</v>
      </c>
      <c r="AE36" s="99">
        <f t="shared" si="18"/>
        <v>1.05</v>
      </c>
      <c r="AF36" s="100">
        <f t="shared" si="19"/>
        <v>1.05</v>
      </c>
      <c r="AG36" s="100">
        <f t="shared" si="20"/>
        <v>1.05</v>
      </c>
      <c r="AH36" s="100">
        <f t="shared" si="21"/>
        <v>1.05</v>
      </c>
      <c r="AI36" s="100">
        <f t="shared" si="21"/>
        <v>1.05</v>
      </c>
      <c r="AJ36" s="101" t="s">
        <v>110</v>
      </c>
      <c r="AK36" s="6"/>
      <c r="AL36" s="6"/>
      <c r="AM36" s="6"/>
    </row>
    <row r="37" spans="1:39" ht="45">
      <c r="A37" s="15" t="s">
        <v>61</v>
      </c>
      <c r="B37" s="9" t="s">
        <v>103</v>
      </c>
      <c r="C37" s="9" t="s">
        <v>31</v>
      </c>
      <c r="D37" s="28">
        <v>1379.9</v>
      </c>
      <c r="E37" s="28">
        <f>PRODUCT(D37*1.055)</f>
        <v>1455.7945</v>
      </c>
      <c r="F37" s="28">
        <f>PRODUCT(E37*1.062)</f>
        <v>1546.0537590000001</v>
      </c>
      <c r="G37" s="28">
        <f>PRODUCT(E37*1.062)</f>
        <v>1546.0537590000001</v>
      </c>
      <c r="H37" s="27" t="s">
        <v>117</v>
      </c>
      <c r="I37" s="39" t="s">
        <v>141</v>
      </c>
      <c r="J37" s="28">
        <f>PRODUCT(F37*1.068)</f>
        <v>1651.1854146120002</v>
      </c>
      <c r="K37" s="28">
        <f>F37*1.067</f>
        <v>1649.639360853</v>
      </c>
      <c r="L37" s="28">
        <f>F37*1.067</f>
        <v>1649.639360853</v>
      </c>
      <c r="M37" s="28">
        <f>F37*1.067</f>
        <v>1649.639360853</v>
      </c>
      <c r="N37" s="28">
        <f>G37*1.067</f>
        <v>1649.639360853</v>
      </c>
      <c r="O37" s="71" t="s">
        <v>141</v>
      </c>
      <c r="P37" s="28">
        <f>PRODUCT(K37*1.051)</f>
        <v>1733.7709682565028</v>
      </c>
      <c r="Q37" s="28">
        <f>K37*1.051</f>
        <v>1733.7709682565028</v>
      </c>
      <c r="R37" s="71" t="s">
        <v>141</v>
      </c>
      <c r="S37" s="28">
        <f>L37*1.051</f>
        <v>1733.7709682565028</v>
      </c>
      <c r="T37" s="124" t="s">
        <v>141</v>
      </c>
      <c r="U37" s="28">
        <f>M37*1.051</f>
        <v>1733.7709682565028</v>
      </c>
      <c r="V37" s="28">
        <f>N37*1.1535</f>
        <v>1902.8590027439354</v>
      </c>
      <c r="W37" s="28">
        <f>N37*1.1535</f>
        <v>1902.8590027439354</v>
      </c>
      <c r="X37" s="71" t="s">
        <v>141</v>
      </c>
      <c r="Y37" s="28">
        <f>V37*1.064</f>
        <v>2024.6419789195475</v>
      </c>
      <c r="Z37" s="28">
        <f>Y37*1.061</f>
        <v>2148.1451396336397</v>
      </c>
      <c r="AA37" s="28">
        <f>Z37*1.052</f>
        <v>2259.8486868945893</v>
      </c>
      <c r="AB37" s="28">
        <f>AA37*1.052</f>
        <v>2377.3608186131082</v>
      </c>
      <c r="AC37" s="99">
        <f t="shared" si="27"/>
        <v>1.0549999999999999</v>
      </c>
      <c r="AD37" s="99">
        <f t="shared" si="27"/>
        <v>1.0620000000000001</v>
      </c>
      <c r="AE37" s="99">
        <f t="shared" si="18"/>
        <v>1.0669999999999999</v>
      </c>
      <c r="AF37" s="100">
        <f t="shared" si="19"/>
        <v>1.0509999999999999</v>
      </c>
      <c r="AG37" s="100">
        <f t="shared" si="20"/>
        <v>1.1677678401522362</v>
      </c>
      <c r="AH37" s="100">
        <f t="shared" si="21"/>
        <v>1.0609999999999999</v>
      </c>
      <c r="AI37" s="100">
        <f t="shared" si="21"/>
        <v>1.052</v>
      </c>
      <c r="AJ37" s="101" t="s">
        <v>195</v>
      </c>
      <c r="AK37" s="6"/>
      <c r="AL37" s="6"/>
      <c r="AM37" s="6"/>
    </row>
    <row r="38" spans="1:39" ht="17.25" customHeight="1">
      <c r="A38" s="15"/>
      <c r="B38" s="9" t="s">
        <v>104</v>
      </c>
      <c r="C38" s="9" t="s">
        <v>31</v>
      </c>
      <c r="D38" s="28"/>
      <c r="E38" s="28"/>
      <c r="F38" s="28"/>
      <c r="G38" s="28"/>
      <c r="H38" s="28"/>
      <c r="I38" s="39" t="s">
        <v>141</v>
      </c>
      <c r="J38" s="28"/>
      <c r="K38" s="28"/>
      <c r="L38" s="28"/>
      <c r="M38" s="28"/>
      <c r="N38" s="28"/>
      <c r="O38" s="71" t="s">
        <v>141</v>
      </c>
      <c r="P38" s="28"/>
      <c r="Q38" s="28"/>
      <c r="R38" s="71" t="s">
        <v>141</v>
      </c>
      <c r="S38" s="28"/>
      <c r="T38" s="124" t="s">
        <v>141</v>
      </c>
      <c r="U38" s="28"/>
      <c r="V38" s="28"/>
      <c r="W38" s="28"/>
      <c r="X38" s="28"/>
      <c r="Y38" s="70"/>
      <c r="Z38" s="28"/>
      <c r="AA38" s="28"/>
      <c r="AB38" s="28"/>
      <c r="AC38" s="99"/>
      <c r="AD38" s="99"/>
      <c r="AE38" s="99"/>
      <c r="AF38" s="121"/>
      <c r="AG38" s="121"/>
      <c r="AH38" s="121"/>
      <c r="AI38" s="121"/>
      <c r="AJ38" s="108"/>
      <c r="AK38" s="6"/>
      <c r="AL38" s="6"/>
      <c r="AM38" s="6"/>
    </row>
    <row r="39" spans="1:39" ht="21.75" customHeight="1">
      <c r="A39" s="15"/>
      <c r="B39" s="9" t="s">
        <v>105</v>
      </c>
      <c r="C39" s="9" t="s">
        <v>31</v>
      </c>
      <c r="D39" s="28"/>
      <c r="E39" s="28"/>
      <c r="F39" s="28"/>
      <c r="G39" s="28"/>
      <c r="H39" s="28"/>
      <c r="I39" s="39" t="s">
        <v>141</v>
      </c>
      <c r="J39" s="28"/>
      <c r="K39" s="28"/>
      <c r="L39" s="28"/>
      <c r="M39" s="28"/>
      <c r="N39" s="28"/>
      <c r="O39" s="71" t="s">
        <v>141</v>
      </c>
      <c r="P39" s="28"/>
      <c r="Q39" s="28"/>
      <c r="R39" s="71" t="s">
        <v>141</v>
      </c>
      <c r="S39" s="28"/>
      <c r="T39" s="124" t="s">
        <v>141</v>
      </c>
      <c r="U39" s="28"/>
      <c r="V39" s="28"/>
      <c r="W39" s="28"/>
      <c r="X39" s="28"/>
      <c r="Y39" s="28"/>
      <c r="Z39" s="28"/>
      <c r="AA39" s="28"/>
      <c r="AB39" s="28"/>
      <c r="AC39" s="99"/>
      <c r="AD39" s="99"/>
      <c r="AE39" s="99"/>
      <c r="AF39" s="121"/>
      <c r="AG39" s="121"/>
      <c r="AH39" s="121"/>
      <c r="AI39" s="121"/>
      <c r="AJ39" s="108"/>
      <c r="AK39" s="6"/>
      <c r="AL39" s="6"/>
      <c r="AM39" s="6"/>
    </row>
    <row r="40" spans="1:39">
      <c r="A40" s="15" t="s">
        <v>62</v>
      </c>
      <c r="B40" s="107" t="s">
        <v>63</v>
      </c>
      <c r="C40" s="15"/>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99"/>
      <c r="AD40" s="99"/>
      <c r="AE40" s="99"/>
      <c r="AF40" s="121"/>
      <c r="AG40" s="121"/>
      <c r="AH40" s="121"/>
      <c r="AI40" s="121"/>
      <c r="AJ40" s="101"/>
      <c r="AK40" s="6"/>
      <c r="AL40" s="6"/>
      <c r="AM40" s="6"/>
    </row>
    <row r="41" spans="1:39" ht="45">
      <c r="A41" s="15" t="s">
        <v>64</v>
      </c>
      <c r="B41" s="9" t="s">
        <v>65</v>
      </c>
      <c r="C41" s="15" t="s">
        <v>66</v>
      </c>
      <c r="D41" s="23">
        <v>1613.5</v>
      </c>
      <c r="E41" s="23">
        <v>1791.7</v>
      </c>
      <c r="F41" s="43">
        <v>1921.3</v>
      </c>
      <c r="G41" s="43">
        <v>1921.3</v>
      </c>
      <c r="H41" s="43" t="s">
        <v>129</v>
      </c>
      <c r="I41" s="39" t="s">
        <v>141</v>
      </c>
      <c r="J41" s="43">
        <f>PRODUCT(F41*1.063)</f>
        <v>2042.3418999999999</v>
      </c>
      <c r="K41" s="28">
        <f>F41*1.067</f>
        <v>2050.0270999999998</v>
      </c>
      <c r="L41" s="69">
        <v>2293.6</v>
      </c>
      <c r="M41" s="69">
        <v>2293.6</v>
      </c>
      <c r="N41" s="69">
        <v>2293.6</v>
      </c>
      <c r="O41" s="71" t="s">
        <v>141</v>
      </c>
      <c r="P41" s="28">
        <f t="shared" ref="P41:P43" si="29">PRODUCT(K41*1.051)</f>
        <v>2154.5784820999997</v>
      </c>
      <c r="Q41" s="28">
        <f>L41*1.156</f>
        <v>2651.4015999999997</v>
      </c>
      <c r="R41" s="71" t="s">
        <v>141</v>
      </c>
      <c r="S41" s="28">
        <f>L41*1.156</f>
        <v>2651.4015999999997</v>
      </c>
      <c r="T41" s="124" t="s">
        <v>141</v>
      </c>
      <c r="U41" s="28">
        <f>M41*1.156</f>
        <v>2651.4015999999997</v>
      </c>
      <c r="V41" s="28">
        <v>2286.98</v>
      </c>
      <c r="W41" s="28">
        <v>2286.98</v>
      </c>
      <c r="X41" s="71" t="s">
        <v>141</v>
      </c>
      <c r="Y41" s="28">
        <f>V41*1.064</f>
        <v>2433.34672</v>
      </c>
      <c r="Z41" s="28">
        <f>Y41*1.061</f>
        <v>2581.78086992</v>
      </c>
      <c r="AA41" s="28">
        <f>Z41*1.052</f>
        <v>2716.0334751558403</v>
      </c>
      <c r="AB41" s="28">
        <f t="shared" ref="AB41:AI41" si="30">AA41*1.052</f>
        <v>2857.2672158639439</v>
      </c>
      <c r="AC41" s="28">
        <f t="shared" si="30"/>
        <v>3005.8451110888691</v>
      </c>
      <c r="AD41" s="28">
        <f t="shared" si="30"/>
        <v>3162.1490568654904</v>
      </c>
      <c r="AE41" s="28">
        <f t="shared" si="30"/>
        <v>3326.5808078224959</v>
      </c>
      <c r="AF41" s="28">
        <f t="shared" si="30"/>
        <v>3499.5630098292659</v>
      </c>
      <c r="AG41" s="28">
        <f t="shared" si="30"/>
        <v>3681.5402863403879</v>
      </c>
      <c r="AH41" s="28">
        <f t="shared" si="30"/>
        <v>3872.9803812300884</v>
      </c>
      <c r="AI41" s="28">
        <f t="shared" si="30"/>
        <v>4074.375361054053</v>
      </c>
      <c r="AJ41" s="37" t="s">
        <v>157</v>
      </c>
      <c r="AK41" s="6"/>
      <c r="AL41" s="6"/>
      <c r="AM41" s="6"/>
    </row>
    <row r="42" spans="1:39" ht="45">
      <c r="A42" s="15" t="s">
        <v>67</v>
      </c>
      <c r="B42" s="9" t="s">
        <v>68</v>
      </c>
      <c r="C42" s="15" t="s">
        <v>66</v>
      </c>
      <c r="D42" s="11">
        <v>345.5</v>
      </c>
      <c r="E42" s="11">
        <v>379.61</v>
      </c>
      <c r="F42" s="11">
        <v>386.4</v>
      </c>
      <c r="G42" s="11">
        <v>386.4</v>
      </c>
      <c r="H42" s="11" t="s">
        <v>121</v>
      </c>
      <c r="I42" s="39" t="s">
        <v>141</v>
      </c>
      <c r="J42" s="11">
        <f>PRODUCT(F42*1.073)</f>
        <v>414.60719999999998</v>
      </c>
      <c r="K42" s="11">
        <v>376.7</v>
      </c>
      <c r="L42" s="11">
        <v>376.72680000000003</v>
      </c>
      <c r="M42" s="11">
        <v>376.72680000000003</v>
      </c>
      <c r="N42" s="11">
        <v>376.72680000000003</v>
      </c>
      <c r="O42" s="71" t="s">
        <v>141</v>
      </c>
      <c r="P42" s="28">
        <f t="shared" si="29"/>
        <v>395.91169999999994</v>
      </c>
      <c r="Q42" s="28">
        <f>L42*1.156</f>
        <v>435.49618079999999</v>
      </c>
      <c r="R42" s="71" t="s">
        <v>141</v>
      </c>
      <c r="S42" s="28">
        <f>L42*1.156</f>
        <v>435.49618079999999</v>
      </c>
      <c r="T42" s="124" t="s">
        <v>141</v>
      </c>
      <c r="U42" s="28">
        <f>M42*1.156</f>
        <v>435.49618079999999</v>
      </c>
      <c r="V42" s="28">
        <v>486.51119999999997</v>
      </c>
      <c r="W42" s="28">
        <v>486.51119999999997</v>
      </c>
      <c r="X42" s="71" t="s">
        <v>141</v>
      </c>
      <c r="Y42" s="28">
        <f>V42*1.064</f>
        <v>517.64791679999996</v>
      </c>
      <c r="Z42" s="28">
        <f>Y42*1.061</f>
        <v>549.22443972479994</v>
      </c>
      <c r="AA42" s="28">
        <f>Z42*1.052</f>
        <v>577.7841105904896</v>
      </c>
      <c r="AB42" s="28">
        <f>AA42*1.052</f>
        <v>607.82888434119513</v>
      </c>
      <c r="AC42" s="99">
        <f t="shared" ref="AC42:AD43" si="31">E42/D42</f>
        <v>1.098726483357453</v>
      </c>
      <c r="AD42" s="99">
        <f t="shared" si="31"/>
        <v>1.0178867785358656</v>
      </c>
      <c r="AE42" s="99">
        <f>K42/F42</f>
        <v>0.97489648033126297</v>
      </c>
      <c r="AF42" s="100">
        <f>P42/K42</f>
        <v>1.0509999999999999</v>
      </c>
      <c r="AG42" s="100">
        <f>Y42/P42</f>
        <v>1.3074832514421777</v>
      </c>
      <c r="AH42" s="100">
        <f t="shared" ref="AH42:AI43" si="32">Z42/Y42</f>
        <v>1.0609999999999999</v>
      </c>
      <c r="AI42" s="100">
        <f t="shared" si="32"/>
        <v>1.052</v>
      </c>
      <c r="AJ42" s="37" t="s">
        <v>157</v>
      </c>
      <c r="AK42" s="6"/>
      <c r="AL42" s="6"/>
      <c r="AM42" s="6"/>
    </row>
    <row r="43" spans="1:39" ht="49.5" customHeight="1">
      <c r="A43" s="15" t="s">
        <v>69</v>
      </c>
      <c r="B43" s="9" t="s">
        <v>70</v>
      </c>
      <c r="C43" s="15" t="s">
        <v>66</v>
      </c>
      <c r="D43" s="11">
        <v>844.4</v>
      </c>
      <c r="E43" s="11">
        <v>890.8</v>
      </c>
      <c r="F43" s="11">
        <f>PRODUCT(E43*1.074)</f>
        <v>956.7192</v>
      </c>
      <c r="G43" s="11">
        <f>PRODUCT(E43*1.074)</f>
        <v>956.7192</v>
      </c>
      <c r="H43" s="11" t="s">
        <v>122</v>
      </c>
      <c r="I43" s="39" t="s">
        <v>141</v>
      </c>
      <c r="J43" s="11">
        <f>PRODUCT(F43*1.073)</f>
        <v>1026.5597015999999</v>
      </c>
      <c r="K43" s="28">
        <f>F43*1.067</f>
        <v>1020.8193864</v>
      </c>
      <c r="L43" s="28">
        <f>F43*1.067</f>
        <v>1020.8193864</v>
      </c>
      <c r="M43" s="28">
        <f>F43*1.067</f>
        <v>1020.8193864</v>
      </c>
      <c r="N43" s="28">
        <f>G43*1.067</f>
        <v>1020.8193864</v>
      </c>
      <c r="O43" s="71" t="s">
        <v>141</v>
      </c>
      <c r="P43" s="28">
        <f t="shared" si="29"/>
        <v>1072.8811751064</v>
      </c>
      <c r="Q43" s="28">
        <f>K43*1.156</f>
        <v>1180.0672106784</v>
      </c>
      <c r="R43" s="71" t="s">
        <v>141</v>
      </c>
      <c r="S43" s="28">
        <f>L43*1.156</f>
        <v>1180.0672106784</v>
      </c>
      <c r="T43" s="124" t="s">
        <v>141</v>
      </c>
      <c r="U43" s="28">
        <f>M43*1.156</f>
        <v>1180.0672106784</v>
      </c>
      <c r="V43" s="28">
        <f>N43*1.1166</f>
        <v>1139.8469268542401</v>
      </c>
      <c r="W43" s="28">
        <f>N43*1.1166</f>
        <v>1139.8469268542401</v>
      </c>
      <c r="X43" s="71" t="s">
        <v>141</v>
      </c>
      <c r="Y43" s="28">
        <f>V43*1.064</f>
        <v>1212.7971301729115</v>
      </c>
      <c r="Z43" s="28">
        <f>Y43*1.061</f>
        <v>1286.7777551134591</v>
      </c>
      <c r="AA43" s="28">
        <f>Z43*1.052</f>
        <v>1353.6901983793591</v>
      </c>
      <c r="AB43" s="28">
        <f>AA43*1.052</f>
        <v>1424.0820886950858</v>
      </c>
      <c r="AC43" s="99">
        <f t="shared" si="31"/>
        <v>1.0549502605400285</v>
      </c>
      <c r="AD43" s="99">
        <f t="shared" si="31"/>
        <v>1.0740000000000001</v>
      </c>
      <c r="AE43" s="99">
        <f>K43/F43</f>
        <v>1.0669999999999999</v>
      </c>
      <c r="AF43" s="100">
        <f>P43/K43</f>
        <v>1.0509999999999999</v>
      </c>
      <c r="AG43" s="100">
        <f>Y43/P43</f>
        <v>1.1304114176974311</v>
      </c>
      <c r="AH43" s="100">
        <f t="shared" si="32"/>
        <v>1.0609999999999999</v>
      </c>
      <c r="AI43" s="100">
        <f t="shared" si="32"/>
        <v>1.052</v>
      </c>
      <c r="AJ43" s="37" t="s">
        <v>157</v>
      </c>
      <c r="AK43" s="6"/>
      <c r="AL43" s="6"/>
      <c r="AM43" s="6"/>
    </row>
    <row r="44" spans="1:39">
      <c r="A44" s="15" t="s">
        <v>71</v>
      </c>
      <c r="B44" s="107" t="s">
        <v>72</v>
      </c>
      <c r="C44" s="15"/>
      <c r="D44" s="59"/>
      <c r="E44" s="61"/>
      <c r="F44" s="130"/>
      <c r="G44" s="130"/>
      <c r="H44" s="130"/>
      <c r="I44" s="130"/>
      <c r="J44" s="130"/>
      <c r="K44" s="130"/>
      <c r="L44" s="130"/>
      <c r="M44" s="130"/>
      <c r="N44" s="130"/>
      <c r="O44" s="130"/>
      <c r="P44" s="130"/>
      <c r="Q44" s="130"/>
      <c r="R44" s="130"/>
      <c r="S44" s="130"/>
      <c r="T44" s="130"/>
      <c r="U44" s="28"/>
      <c r="V44" s="28"/>
      <c r="W44" s="28"/>
      <c r="X44" s="28"/>
      <c r="Y44" s="70"/>
      <c r="Z44" s="130"/>
      <c r="AA44" s="130"/>
      <c r="AB44" s="130"/>
      <c r="AC44" s="99"/>
      <c r="AD44" s="99"/>
      <c r="AE44" s="99"/>
      <c r="AF44" s="100"/>
      <c r="AG44" s="121"/>
      <c r="AH44" s="121"/>
      <c r="AI44" s="121"/>
      <c r="AJ44" s="108"/>
      <c r="AK44" s="6"/>
      <c r="AL44" s="6"/>
      <c r="AM44" s="6"/>
    </row>
    <row r="45" spans="1:39" ht="45">
      <c r="A45" s="15" t="s">
        <v>73</v>
      </c>
      <c r="B45" s="9" t="s">
        <v>74</v>
      </c>
      <c r="C45" s="15" t="s">
        <v>75</v>
      </c>
      <c r="D45" s="29">
        <v>2057</v>
      </c>
      <c r="E45" s="29">
        <v>2118</v>
      </c>
      <c r="F45" s="51">
        <v>2170</v>
      </c>
      <c r="G45" s="51">
        <v>2170</v>
      </c>
      <c r="H45" s="51" t="s">
        <v>130</v>
      </c>
      <c r="I45" s="51">
        <v>2168</v>
      </c>
      <c r="J45" s="51">
        <v>2168</v>
      </c>
      <c r="K45" s="51">
        <v>2281</v>
      </c>
      <c r="L45" s="51">
        <v>2281</v>
      </c>
      <c r="M45" s="51">
        <v>2281</v>
      </c>
      <c r="N45" s="51">
        <v>2277</v>
      </c>
      <c r="O45" s="71" t="s">
        <v>141</v>
      </c>
      <c r="P45" s="51">
        <v>2372</v>
      </c>
      <c r="Q45" s="51">
        <v>2372</v>
      </c>
      <c r="R45" s="71" t="s">
        <v>141</v>
      </c>
      <c r="S45" s="51">
        <v>2372</v>
      </c>
      <c r="T45" s="71" t="s">
        <v>141</v>
      </c>
      <c r="U45" s="51">
        <v>2372</v>
      </c>
      <c r="V45" s="131">
        <v>2285</v>
      </c>
      <c r="W45" s="131">
        <v>2285</v>
      </c>
      <c r="X45" s="71" t="s">
        <v>141</v>
      </c>
      <c r="Y45" s="51"/>
      <c r="Z45" s="51"/>
      <c r="AA45" s="51"/>
      <c r="AB45" s="51"/>
      <c r="AC45" s="99">
        <f t="shared" ref="AC45:AD49" si="33">E45/D45</f>
        <v>1.0296548371414682</v>
      </c>
      <c r="AD45" s="99">
        <f t="shared" si="33"/>
        <v>1.024551463644948</v>
      </c>
      <c r="AE45" s="99">
        <f>K45/F45</f>
        <v>1.0511520737327189</v>
      </c>
      <c r="AF45" s="100">
        <f>P45/K45</f>
        <v>1.0398947829899168</v>
      </c>
      <c r="AG45" s="100">
        <f>Y45/P45</f>
        <v>0</v>
      </c>
      <c r="AH45" s="100" t="e">
        <f t="shared" ref="AH45:AI45" si="34">Z45/Y45</f>
        <v>#DIV/0!</v>
      </c>
      <c r="AI45" s="100" t="e">
        <f t="shared" si="34"/>
        <v>#DIV/0!</v>
      </c>
      <c r="AJ45" s="89" t="s">
        <v>219</v>
      </c>
      <c r="AK45" s="6"/>
      <c r="AL45" s="6"/>
      <c r="AM45" s="6"/>
    </row>
    <row r="46" spans="1:39" ht="75">
      <c r="A46" s="15" t="s">
        <v>76</v>
      </c>
      <c r="B46" s="125" t="s">
        <v>77</v>
      </c>
      <c r="C46" s="15" t="s">
        <v>75</v>
      </c>
      <c r="D46" s="29">
        <v>1585</v>
      </c>
      <c r="E46" s="29">
        <v>1603</v>
      </c>
      <c r="F46" s="51">
        <v>1642</v>
      </c>
      <c r="G46" s="51">
        <v>1642</v>
      </c>
      <c r="H46" s="51" t="s">
        <v>131</v>
      </c>
      <c r="I46" s="51">
        <v>1684</v>
      </c>
      <c r="J46" s="51">
        <v>1711</v>
      </c>
      <c r="K46" s="51">
        <v>1762</v>
      </c>
      <c r="L46" s="51">
        <v>1762</v>
      </c>
      <c r="M46" s="51">
        <v>1762</v>
      </c>
      <c r="N46" s="51">
        <v>1762</v>
      </c>
      <c r="O46" s="51">
        <v>1845</v>
      </c>
      <c r="P46" s="51">
        <v>1982</v>
      </c>
      <c r="Q46" s="51">
        <v>1982</v>
      </c>
      <c r="R46" s="51">
        <v>1845</v>
      </c>
      <c r="S46" s="51">
        <v>1982</v>
      </c>
      <c r="T46" s="51">
        <v>1743</v>
      </c>
      <c r="U46" s="51">
        <v>1928</v>
      </c>
      <c r="V46" s="51">
        <v>1970</v>
      </c>
      <c r="W46" s="51">
        <v>1970</v>
      </c>
      <c r="X46" s="71" t="s">
        <v>141</v>
      </c>
      <c r="Y46" s="51"/>
      <c r="Z46" s="51"/>
      <c r="AA46" s="51"/>
      <c r="AB46" s="51"/>
      <c r="AC46" s="99">
        <f t="shared" si="33"/>
        <v>1.0113564668769717</v>
      </c>
      <c r="AD46" s="99">
        <f t="shared" si="33"/>
        <v>1.0243293824079851</v>
      </c>
      <c r="AE46" s="99">
        <f>K46/F46</f>
        <v>1.0730816077953715</v>
      </c>
      <c r="AF46" s="100">
        <f>P46/K46</f>
        <v>1.1248581157775255</v>
      </c>
      <c r="AG46" s="100"/>
      <c r="AH46" s="100"/>
      <c r="AI46" s="100"/>
      <c r="AJ46" s="89" t="s">
        <v>219</v>
      </c>
      <c r="AK46" s="6"/>
      <c r="AL46" s="6"/>
      <c r="AM46" s="6"/>
    </row>
    <row r="47" spans="1:39" ht="60">
      <c r="A47" s="15" t="s">
        <v>78</v>
      </c>
      <c r="B47" s="9" t="s">
        <v>79</v>
      </c>
      <c r="C47" s="15" t="s">
        <v>75</v>
      </c>
      <c r="D47" s="29">
        <v>635</v>
      </c>
      <c r="E47" s="29">
        <v>650</v>
      </c>
      <c r="F47" s="51">
        <v>728</v>
      </c>
      <c r="G47" s="51">
        <v>728</v>
      </c>
      <c r="H47" s="51" t="s">
        <v>132</v>
      </c>
      <c r="I47" s="51">
        <v>640</v>
      </c>
      <c r="J47" s="51">
        <v>650</v>
      </c>
      <c r="K47" s="51">
        <v>791</v>
      </c>
      <c r="L47" s="51">
        <v>791</v>
      </c>
      <c r="M47" s="51">
        <v>791</v>
      </c>
      <c r="N47" s="51">
        <v>791</v>
      </c>
      <c r="O47" s="51">
        <v>861</v>
      </c>
      <c r="P47" s="51">
        <v>621</v>
      </c>
      <c r="Q47" s="51">
        <v>621</v>
      </c>
      <c r="R47" s="51">
        <v>861</v>
      </c>
      <c r="S47" s="51">
        <v>621</v>
      </c>
      <c r="T47" s="51">
        <v>879</v>
      </c>
      <c r="U47" s="51">
        <v>702</v>
      </c>
      <c r="V47" s="51">
        <v>700</v>
      </c>
      <c r="W47" s="51">
        <v>700</v>
      </c>
      <c r="X47" s="71" t="s">
        <v>141</v>
      </c>
      <c r="Y47" s="51"/>
      <c r="Z47" s="51"/>
      <c r="AA47" s="51"/>
      <c r="AB47" s="51"/>
      <c r="AC47" s="99">
        <f t="shared" si="33"/>
        <v>1.0236220472440944</v>
      </c>
      <c r="AD47" s="99">
        <f t="shared" si="33"/>
        <v>1.1200000000000001</v>
      </c>
      <c r="AE47" s="99">
        <f>K47/F47</f>
        <v>1.0865384615384615</v>
      </c>
      <c r="AF47" s="100">
        <f>P47/K47</f>
        <v>0.78508217446270545</v>
      </c>
      <c r="AG47" s="100"/>
      <c r="AH47" s="100"/>
      <c r="AI47" s="100"/>
      <c r="AJ47" s="89" t="s">
        <v>219</v>
      </c>
      <c r="AK47" s="6"/>
      <c r="AL47" s="6"/>
      <c r="AM47" s="6"/>
    </row>
    <row r="48" spans="1:39" ht="45">
      <c r="A48" s="15" t="s">
        <v>80</v>
      </c>
      <c r="B48" s="9" t="s">
        <v>81</v>
      </c>
      <c r="C48" s="15" t="s">
        <v>75</v>
      </c>
      <c r="D48" s="33">
        <v>2851</v>
      </c>
      <c r="E48" s="29">
        <v>2945</v>
      </c>
      <c r="F48" s="51">
        <v>2998</v>
      </c>
      <c r="G48" s="51">
        <v>2998</v>
      </c>
      <c r="H48" s="51" t="s">
        <v>133</v>
      </c>
      <c r="I48" s="51">
        <v>3023</v>
      </c>
      <c r="J48" s="51">
        <v>3050</v>
      </c>
      <c r="K48" s="51">
        <v>3098</v>
      </c>
      <c r="L48" s="51">
        <v>3098</v>
      </c>
      <c r="M48" s="51">
        <v>3098</v>
      </c>
      <c r="N48" s="51">
        <v>3098</v>
      </c>
      <c r="O48" s="51">
        <v>3165</v>
      </c>
      <c r="P48" s="133" t="s">
        <v>152</v>
      </c>
      <c r="Q48" s="51">
        <v>3235</v>
      </c>
      <c r="R48" s="51">
        <v>3165</v>
      </c>
      <c r="S48" s="51">
        <v>3287</v>
      </c>
      <c r="T48" s="51">
        <v>3192</v>
      </c>
      <c r="U48" s="51">
        <v>3219</v>
      </c>
      <c r="V48" s="51">
        <v>3299</v>
      </c>
      <c r="W48" s="51">
        <v>3299</v>
      </c>
      <c r="X48" s="71" t="s">
        <v>141</v>
      </c>
      <c r="Y48" s="124"/>
      <c r="Z48" s="51"/>
      <c r="AA48" s="51"/>
      <c r="AB48" s="51"/>
      <c r="AC48" s="99">
        <f t="shared" si="33"/>
        <v>1.0329708874079271</v>
      </c>
      <c r="AD48" s="99">
        <f t="shared" si="33"/>
        <v>1.0179966044142614</v>
      </c>
      <c r="AE48" s="99">
        <f>K48/F48</f>
        <v>1.0333555703802535</v>
      </c>
      <c r="AF48" s="100">
        <f>P48/K48</f>
        <v>1.0503550677856681</v>
      </c>
      <c r="AG48" s="100"/>
      <c r="AH48" s="100"/>
      <c r="AI48" s="100"/>
      <c r="AJ48" s="89" t="s">
        <v>219</v>
      </c>
      <c r="AK48" s="6"/>
      <c r="AL48" s="6"/>
      <c r="AM48" s="6"/>
    </row>
    <row r="49" spans="1:75" ht="60">
      <c r="A49" s="15" t="s">
        <v>82</v>
      </c>
      <c r="B49" s="9" t="s">
        <v>83</v>
      </c>
      <c r="C49" s="15" t="s">
        <v>75</v>
      </c>
      <c r="D49" s="29">
        <v>314</v>
      </c>
      <c r="E49" s="29">
        <v>321</v>
      </c>
      <c r="F49" s="51">
        <v>304</v>
      </c>
      <c r="G49" s="51">
        <v>304</v>
      </c>
      <c r="H49" s="51" t="s">
        <v>134</v>
      </c>
      <c r="I49" s="51">
        <v>273</v>
      </c>
      <c r="J49" s="51">
        <v>285</v>
      </c>
      <c r="K49" s="51">
        <v>309</v>
      </c>
      <c r="L49" s="51">
        <v>309</v>
      </c>
      <c r="M49" s="51">
        <v>309</v>
      </c>
      <c r="N49" s="51">
        <v>309</v>
      </c>
      <c r="O49" s="51">
        <v>309</v>
      </c>
      <c r="P49" s="133" t="s">
        <v>153</v>
      </c>
      <c r="Q49" s="51">
        <v>449</v>
      </c>
      <c r="R49" s="51">
        <v>309</v>
      </c>
      <c r="S49" s="51">
        <v>449</v>
      </c>
      <c r="T49" s="51">
        <v>323</v>
      </c>
      <c r="U49" s="51">
        <v>350</v>
      </c>
      <c r="V49" s="51">
        <v>468</v>
      </c>
      <c r="W49" s="51">
        <v>468</v>
      </c>
      <c r="X49" s="71" t="s">
        <v>141</v>
      </c>
      <c r="Y49" s="124"/>
      <c r="Z49" s="51"/>
      <c r="AA49" s="51"/>
      <c r="AB49" s="51"/>
      <c r="AC49" s="99">
        <f t="shared" si="33"/>
        <v>1.0222929936305734</v>
      </c>
      <c r="AD49" s="99">
        <f t="shared" si="33"/>
        <v>0.9470404984423676</v>
      </c>
      <c r="AE49" s="99">
        <f>K49/F49</f>
        <v>1.0164473684210527</v>
      </c>
      <c r="AF49" s="100">
        <f>P49/K49</f>
        <v>1.3171521035598706</v>
      </c>
      <c r="AG49" s="100"/>
      <c r="AH49" s="100"/>
      <c r="AI49" s="100"/>
      <c r="AJ49" s="89" t="s">
        <v>219</v>
      </c>
      <c r="AK49" s="6"/>
      <c r="AL49" s="6"/>
      <c r="AM49" s="6"/>
    </row>
    <row r="50" spans="1:75">
      <c r="A50" s="15" t="s">
        <v>84</v>
      </c>
      <c r="B50" s="107" t="s">
        <v>85</v>
      </c>
      <c r="C50" s="15"/>
      <c r="D50" s="57"/>
      <c r="E50" s="58"/>
      <c r="F50" s="94"/>
      <c r="G50" s="94"/>
      <c r="H50" s="94"/>
      <c r="I50" s="94"/>
      <c r="J50" s="94"/>
      <c r="K50" s="94"/>
      <c r="L50" s="94"/>
      <c r="M50" s="94"/>
      <c r="N50" s="94"/>
      <c r="O50" s="94"/>
      <c r="P50" s="94"/>
      <c r="Q50" s="94"/>
      <c r="R50" s="94"/>
      <c r="S50" s="94"/>
      <c r="T50" s="94"/>
      <c r="U50" s="94"/>
      <c r="V50" s="94"/>
      <c r="W50" s="94"/>
      <c r="X50" s="94"/>
      <c r="Y50" s="94"/>
      <c r="Z50" s="94"/>
      <c r="AA50" s="94"/>
      <c r="AB50" s="94"/>
      <c r="AC50" s="99"/>
      <c r="AD50" s="99"/>
      <c r="AE50" s="99"/>
      <c r="AF50" s="121"/>
      <c r="AG50" s="121"/>
      <c r="AH50" s="121"/>
      <c r="AI50" s="121"/>
      <c r="AJ50" s="108"/>
      <c r="AK50" s="6"/>
      <c r="AL50" s="6"/>
      <c r="AM50" s="6"/>
    </row>
    <row r="51" spans="1:75" ht="39">
      <c r="A51" s="15" t="s">
        <v>86</v>
      </c>
      <c r="B51" s="9" t="s">
        <v>87</v>
      </c>
      <c r="C51" s="15" t="s">
        <v>88</v>
      </c>
      <c r="D51" s="26">
        <f>42.6572*100</f>
        <v>4265.72</v>
      </c>
      <c r="E51" s="26">
        <f>42.6572*100</f>
        <v>4265.72</v>
      </c>
      <c r="F51" s="23">
        <f t="shared" ref="F51:J51" si="35">42.6572*100</f>
        <v>4265.72</v>
      </c>
      <c r="G51" s="23">
        <f t="shared" si="35"/>
        <v>4265.72</v>
      </c>
      <c r="H51" s="23">
        <v>4265.7</v>
      </c>
      <c r="I51" s="23">
        <v>4265.7</v>
      </c>
      <c r="J51" s="23">
        <f t="shared" si="35"/>
        <v>4265.72</v>
      </c>
      <c r="K51" s="23">
        <v>4498</v>
      </c>
      <c r="L51" s="23">
        <v>4498</v>
      </c>
      <c r="M51" s="23">
        <v>4498</v>
      </c>
      <c r="N51" s="23">
        <v>4498</v>
      </c>
      <c r="O51" s="23">
        <v>4498</v>
      </c>
      <c r="P51" s="134">
        <f>K51</f>
        <v>4498</v>
      </c>
      <c r="Q51" s="134">
        <v>4498</v>
      </c>
      <c r="R51" s="23">
        <v>4498</v>
      </c>
      <c r="S51" s="23">
        <v>4498</v>
      </c>
      <c r="T51" s="23">
        <v>4498</v>
      </c>
      <c r="U51" s="23">
        <v>4498</v>
      </c>
      <c r="V51" s="23">
        <v>4498</v>
      </c>
      <c r="W51" s="23">
        <v>4498</v>
      </c>
      <c r="X51" s="120">
        <f>4497.6455+15.1842</f>
        <v>4512.8296999999993</v>
      </c>
      <c r="Y51" s="120">
        <f>4497.6455+15.1842</f>
        <v>4512.8296999999993</v>
      </c>
      <c r="Z51" s="120">
        <f>Y51</f>
        <v>4512.8296999999993</v>
      </c>
      <c r="AA51" s="120">
        <f>Z51</f>
        <v>4512.8296999999993</v>
      </c>
      <c r="AB51" s="120">
        <f>AA51</f>
        <v>4512.8296999999993</v>
      </c>
      <c r="AC51" s="99">
        <f t="shared" ref="AC51:AD53" si="36">E51/D51</f>
        <v>1</v>
      </c>
      <c r="AD51" s="99">
        <f t="shared" si="36"/>
        <v>1</v>
      </c>
      <c r="AE51" s="99">
        <f>K51/F51</f>
        <v>1.0544527066942977</v>
      </c>
      <c r="AF51" s="100">
        <f>P51/K51</f>
        <v>1</v>
      </c>
      <c r="AG51" s="100">
        <f>Y51/P51</f>
        <v>1.0032969542018673</v>
      </c>
      <c r="AH51" s="100">
        <f t="shared" ref="AH51:AI53" si="37">Z51/Y51</f>
        <v>1</v>
      </c>
      <c r="AI51" s="100">
        <f t="shared" si="37"/>
        <v>1</v>
      </c>
      <c r="AJ51" s="101" t="s">
        <v>225</v>
      </c>
      <c r="AK51" s="6"/>
      <c r="AL51" s="6"/>
      <c r="AM51" s="6"/>
    </row>
    <row r="52" spans="1:75" ht="128.25">
      <c r="A52" s="15" t="s">
        <v>89</v>
      </c>
      <c r="B52" s="9" t="s">
        <v>92</v>
      </c>
      <c r="C52" s="15" t="s">
        <v>93</v>
      </c>
      <c r="D52" s="11">
        <v>22.2</v>
      </c>
      <c r="E52" s="11">
        <v>22.5</v>
      </c>
      <c r="F52" s="11">
        <v>22.8</v>
      </c>
      <c r="G52" s="11">
        <v>22.8</v>
      </c>
      <c r="H52" s="11" t="s">
        <v>123</v>
      </c>
      <c r="I52" s="11" t="s">
        <v>123</v>
      </c>
      <c r="J52" s="11">
        <v>23.2</v>
      </c>
      <c r="K52" s="11">
        <v>23.7</v>
      </c>
      <c r="L52" s="11">
        <v>23.7</v>
      </c>
      <c r="M52" s="11">
        <f>(484896+75155)/M10/1000</f>
        <v>23.665793365729982</v>
      </c>
      <c r="N52" s="106">
        <v>23.4</v>
      </c>
      <c r="O52" s="11">
        <f>(562349.8-678)/O10/1000</f>
        <v>23.734282695964506</v>
      </c>
      <c r="P52" s="11">
        <v>23.9</v>
      </c>
      <c r="Q52" s="11">
        <v>23.9</v>
      </c>
      <c r="R52" s="11">
        <f>(484896+2473.1+75155-118.7)/R10/1000</f>
        <v>23.765282062117056</v>
      </c>
      <c r="S52" s="11">
        <f>(484896+2473.1+75155+11858.2+2091.55+1162.26-6659/2)/S10/1000</f>
        <v>23.827183753059785</v>
      </c>
      <c r="T52" s="11">
        <f>(484896+75155)/T10/1000</f>
        <v>23.394920422741134</v>
      </c>
      <c r="U52" s="11">
        <f t="shared" ref="U52" si="38">(484896+2473.1+75155+11858.2+2091.55+1162.26-6659/2)/U10/1000</f>
        <v>23.77231866107909</v>
      </c>
      <c r="V52" s="11">
        <v>23.791451087180757</v>
      </c>
      <c r="W52" s="11">
        <v>23.791451087180757</v>
      </c>
      <c r="X52" s="71" t="s">
        <v>141</v>
      </c>
      <c r="Y52" s="11">
        <v>23.856713698298798</v>
      </c>
      <c r="Z52" s="68">
        <v>23.978760405570679</v>
      </c>
      <c r="AA52" s="11">
        <v>24.0570781829419</v>
      </c>
      <c r="AB52" s="11">
        <v>24.2</v>
      </c>
      <c r="AC52" s="99">
        <f t="shared" si="36"/>
        <v>1.0135135135135136</v>
      </c>
      <c r="AD52" s="99">
        <f t="shared" si="36"/>
        <v>1.0133333333333334</v>
      </c>
      <c r="AE52" s="99">
        <f>K52/F52</f>
        <v>1.0394736842105263</v>
      </c>
      <c r="AF52" s="100">
        <f>P52/K52</f>
        <v>1.0084388185654007</v>
      </c>
      <c r="AG52" s="100">
        <f>Y52/P52</f>
        <v>0.99818885766940579</v>
      </c>
      <c r="AH52" s="100">
        <f t="shared" si="37"/>
        <v>1.0051158222718908</v>
      </c>
      <c r="AI52" s="100">
        <f t="shared" si="37"/>
        <v>1.0032661311947146</v>
      </c>
      <c r="AJ52" s="101" t="s">
        <v>222</v>
      </c>
      <c r="AK52" s="135"/>
      <c r="AL52" s="6"/>
      <c r="AM52" s="6"/>
    </row>
    <row r="53" spans="1:75" ht="45">
      <c r="A53" s="15" t="s">
        <v>91</v>
      </c>
      <c r="B53" s="9" t="s">
        <v>90</v>
      </c>
      <c r="C53" s="15" t="s">
        <v>142</v>
      </c>
      <c r="D53" s="53">
        <f>2.809</f>
        <v>2.8090000000000002</v>
      </c>
      <c r="E53" s="53">
        <f>2.967</f>
        <v>2.9670000000000001</v>
      </c>
      <c r="F53" s="54">
        <v>3.1904034800000001</v>
      </c>
      <c r="G53" s="54">
        <v>3.1904034800000001</v>
      </c>
      <c r="H53" s="54" t="s">
        <v>140</v>
      </c>
      <c r="I53" s="54" t="s">
        <v>143</v>
      </c>
      <c r="J53" s="53">
        <f>F53*1.05</f>
        <v>3.3499236540000004</v>
      </c>
      <c r="K53" s="53">
        <v>3.5475530000000002</v>
      </c>
      <c r="L53" s="53">
        <v>3.5475530000000002</v>
      </c>
      <c r="M53" s="53">
        <v>3.5475530000000002</v>
      </c>
      <c r="N53" s="53">
        <v>3.5475530000000002</v>
      </c>
      <c r="O53" s="53">
        <f>L53+0.031653</f>
        <v>3.5792060000000001</v>
      </c>
      <c r="P53" s="53">
        <v>3.65</v>
      </c>
      <c r="Q53" s="53">
        <v>3.65</v>
      </c>
      <c r="R53" s="53">
        <v>3.7288709999999998</v>
      </c>
      <c r="S53" s="53">
        <f>R53</f>
        <v>3.7288709999999998</v>
      </c>
      <c r="T53" s="53" t="s">
        <v>206</v>
      </c>
      <c r="U53" s="53">
        <v>3.7288709999999998</v>
      </c>
      <c r="V53" s="116">
        <f>0.827737+2.877744</f>
        <v>3.7054809999999998</v>
      </c>
      <c r="W53" s="116">
        <f>0.827737+2.877744</f>
        <v>3.7054809999999998</v>
      </c>
      <c r="X53" s="71" t="s">
        <v>141</v>
      </c>
      <c r="Y53" s="116">
        <f>0.869124+2.964076</f>
        <v>3.8331999999999997</v>
      </c>
      <c r="Z53" s="116">
        <f>0.895197+3.052998</f>
        <v>3.9481950000000001</v>
      </c>
      <c r="AA53" s="116">
        <f>0.895198+3.052998</f>
        <v>3.9481960000000003</v>
      </c>
      <c r="AB53" s="54">
        <f>AA53</f>
        <v>3.9481960000000003</v>
      </c>
      <c r="AC53" s="99">
        <f t="shared" si="36"/>
        <v>1.0562477750088999</v>
      </c>
      <c r="AD53" s="99">
        <f t="shared" si="36"/>
        <v>1.0752960835861138</v>
      </c>
      <c r="AE53" s="99">
        <f>K53/F53</f>
        <v>1.1119449380741022</v>
      </c>
      <c r="AF53" s="100">
        <f>S53/K53</f>
        <v>1.0511107233634001</v>
      </c>
      <c r="AG53" s="100">
        <f>Y53/P53</f>
        <v>1.0501917808219177</v>
      </c>
      <c r="AH53" s="100">
        <f t="shared" si="37"/>
        <v>1.0299997391213609</v>
      </c>
      <c r="AI53" s="100">
        <f t="shared" si="37"/>
        <v>1.0000002532802965</v>
      </c>
      <c r="AJ53" s="132" t="s">
        <v>207</v>
      </c>
      <c r="AK53" s="6"/>
      <c r="AL53" s="6"/>
      <c r="AM53" s="6"/>
    </row>
    <row r="54" spans="1:75">
      <c r="A54" s="19"/>
      <c r="B54" s="136" t="s">
        <v>214</v>
      </c>
      <c r="C54" s="137"/>
      <c r="D54" s="34"/>
      <c r="E54" s="35"/>
      <c r="F54" s="30"/>
      <c r="G54" s="30"/>
      <c r="H54" s="30"/>
      <c r="I54" s="30"/>
      <c r="J54" s="35"/>
      <c r="K54" s="35"/>
      <c r="L54" s="35"/>
      <c r="M54" s="35"/>
      <c r="N54" s="35"/>
      <c r="O54" s="35"/>
      <c r="P54" s="35"/>
      <c r="Q54" s="35"/>
      <c r="R54" s="35"/>
      <c r="S54" s="35"/>
      <c r="T54" s="35"/>
      <c r="U54" s="35"/>
      <c r="V54" s="35"/>
      <c r="W54" s="35"/>
      <c r="X54" s="35"/>
      <c r="Y54" s="35"/>
      <c r="Z54" s="35"/>
      <c r="AA54" s="35"/>
      <c r="AB54" s="35"/>
      <c r="AC54" s="138"/>
      <c r="AD54" s="138"/>
      <c r="AE54" s="139"/>
      <c r="AF54" s="140"/>
      <c r="AG54" s="140"/>
      <c r="AH54" s="140"/>
      <c r="AI54" s="140"/>
      <c r="AJ54" s="141"/>
      <c r="AK54" s="6"/>
      <c r="AL54" s="6"/>
      <c r="AM54" s="6"/>
    </row>
    <row r="55" spans="1:75">
      <c r="A55" s="19"/>
      <c r="B55" s="136" t="s">
        <v>215</v>
      </c>
      <c r="C55" s="137"/>
      <c r="D55" s="34"/>
      <c r="E55" s="35"/>
      <c r="F55" s="30"/>
      <c r="G55" s="30"/>
      <c r="H55" s="30"/>
      <c r="I55" s="30"/>
      <c r="J55" s="35"/>
      <c r="K55" s="35"/>
      <c r="L55" s="35"/>
      <c r="M55" s="35"/>
      <c r="N55" s="35"/>
      <c r="O55" s="35"/>
      <c r="P55" s="35"/>
      <c r="Q55" s="35"/>
      <c r="R55" s="35"/>
      <c r="S55" s="35"/>
      <c r="T55" s="35"/>
      <c r="U55" s="35"/>
      <c r="V55" s="35"/>
      <c r="W55" s="35"/>
      <c r="X55" s="35"/>
      <c r="Y55" s="35"/>
      <c r="Z55" s="35"/>
      <c r="AA55" s="35"/>
      <c r="AB55" s="35"/>
      <c r="AC55" s="138"/>
      <c r="AD55" s="138"/>
      <c r="AE55" s="139"/>
      <c r="AF55" s="140"/>
      <c r="AG55" s="140"/>
      <c r="AH55" s="140"/>
      <c r="AI55" s="140"/>
      <c r="AJ55" s="141"/>
      <c r="AK55" s="6"/>
      <c r="AL55" s="6"/>
      <c r="AM55" s="6"/>
    </row>
    <row r="56" spans="1:75">
      <c r="A56" s="19"/>
      <c r="B56" s="136" t="s">
        <v>216</v>
      </c>
      <c r="C56" s="137"/>
      <c r="D56" s="34"/>
      <c r="E56" s="35"/>
      <c r="F56" s="30"/>
      <c r="G56" s="30"/>
      <c r="H56" s="30"/>
      <c r="I56" s="30"/>
      <c r="J56" s="35"/>
      <c r="K56" s="35"/>
      <c r="L56" s="35"/>
      <c r="M56" s="35"/>
      <c r="N56" s="35"/>
      <c r="O56" s="35"/>
      <c r="P56" s="35"/>
      <c r="Q56" s="35"/>
      <c r="R56" s="35"/>
      <c r="S56" s="35"/>
      <c r="T56" s="35"/>
      <c r="U56" s="35"/>
      <c r="V56" s="35"/>
      <c r="W56" s="35"/>
      <c r="X56" s="35"/>
      <c r="Y56" s="35"/>
      <c r="Z56" s="35"/>
      <c r="AA56" s="35"/>
      <c r="AB56" s="35"/>
      <c r="AC56" s="138"/>
      <c r="AD56" s="138"/>
      <c r="AE56" s="139"/>
      <c r="AF56" s="140"/>
      <c r="AG56" s="140"/>
      <c r="AH56" s="140"/>
      <c r="AI56" s="140"/>
      <c r="AJ56" s="141"/>
      <c r="AK56" s="6"/>
      <c r="AL56" s="6"/>
      <c r="AM56" s="6"/>
    </row>
    <row r="57" spans="1:75">
      <c r="A57" s="187" t="s">
        <v>106</v>
      </c>
      <c r="B57" s="188"/>
      <c r="C57" s="19"/>
      <c r="D57" s="36"/>
      <c r="AE57" s="139"/>
      <c r="AF57" s="140"/>
      <c r="AG57" s="140"/>
      <c r="AH57" s="140"/>
      <c r="AI57" s="140"/>
      <c r="AJ57" s="141"/>
      <c r="AK57" s="6"/>
      <c r="AL57" s="6"/>
      <c r="AM57" s="6"/>
    </row>
    <row r="58" spans="1:75" hidden="1">
      <c r="A58" s="14" t="s">
        <v>94</v>
      </c>
      <c r="B58" s="78"/>
      <c r="AC58" s="142"/>
      <c r="AD58" s="142"/>
      <c r="AE58" s="142"/>
      <c r="AF58" s="142"/>
      <c r="AG58" s="142"/>
      <c r="AH58" s="142"/>
      <c r="AI58" s="142"/>
    </row>
    <row r="59" spans="1:75" ht="45" hidden="1">
      <c r="B59" s="143" t="s">
        <v>95</v>
      </c>
    </row>
    <row r="60" spans="1:75" hidden="1">
      <c r="B60" s="144" t="s">
        <v>96</v>
      </c>
    </row>
    <row r="61" spans="1:75" ht="60" hidden="1">
      <c r="B61" s="145" t="s">
        <v>97</v>
      </c>
    </row>
    <row r="62" spans="1:75" ht="45" hidden="1">
      <c r="B62" s="146" t="s">
        <v>98</v>
      </c>
    </row>
    <row r="63" spans="1:75" ht="28.5" hidden="1" customHeight="1">
      <c r="B63" s="7" t="s">
        <v>99</v>
      </c>
    </row>
    <row r="64" spans="1:75" s="2" customFormat="1">
      <c r="A64" s="14"/>
      <c r="B64" s="8"/>
      <c r="C64" s="147"/>
      <c r="D64" s="31"/>
      <c r="E64" s="31"/>
      <c r="F64" s="52"/>
      <c r="G64" s="52"/>
      <c r="H64" s="52"/>
      <c r="I64" s="52"/>
      <c r="J64" s="52"/>
      <c r="K64" s="52"/>
      <c r="L64" s="52"/>
      <c r="M64" s="52"/>
      <c r="N64" s="52"/>
      <c r="O64" s="52"/>
      <c r="P64" s="44"/>
      <c r="Q64" s="44"/>
      <c r="R64" s="52"/>
      <c r="S64" s="44"/>
      <c r="T64" s="44"/>
      <c r="U64" s="44"/>
      <c r="V64" s="44"/>
      <c r="W64" s="44"/>
      <c r="X64" s="44"/>
      <c r="Y64" s="44"/>
      <c r="Z64" s="44"/>
      <c r="AA64" s="44"/>
      <c r="AB64" s="44"/>
      <c r="AC64" s="78"/>
      <c r="AD64" s="78"/>
      <c r="AE64" s="78"/>
      <c r="AF64" s="78"/>
      <c r="AG64" s="78"/>
      <c r="AH64" s="78"/>
      <c r="AI64" s="78"/>
      <c r="AJ64" s="81"/>
      <c r="AK64" s="4"/>
      <c r="AL64" s="4"/>
      <c r="AM64" s="4"/>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row>
  </sheetData>
  <mergeCells count="8">
    <mergeCell ref="A57:B57"/>
    <mergeCell ref="A1:AA1"/>
    <mergeCell ref="A3:U3"/>
    <mergeCell ref="P4:Y4"/>
    <mergeCell ref="A5:A7"/>
    <mergeCell ref="B5:B7"/>
    <mergeCell ref="C5:C7"/>
    <mergeCell ref="Z5:AB5"/>
  </mergeCells>
  <pageMargins left="0.23622047244094491" right="0.15748031496062992" top="0" bottom="0" header="0.23622047244094491" footer="0.23622047244094491"/>
  <pageSetup paperSize="9" scale="6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X65"/>
  <sheetViews>
    <sheetView tabSelected="1" view="pageBreakPreview" zoomScaleNormal="100" zoomScaleSheetLayoutView="100" workbookViewId="0">
      <pane xSplit="3" ySplit="9" topLeftCell="N15" activePane="bottomRight" state="frozen"/>
      <selection pane="topRight" activeCell="D1" sqref="D1"/>
      <selection pane="bottomLeft" activeCell="A8" sqref="A8"/>
      <selection pane="bottomRight" activeCell="V18" sqref="V18"/>
    </sheetView>
  </sheetViews>
  <sheetFormatPr defaultRowHeight="15" outlineLevelRow="1" outlineLevelCol="1"/>
  <cols>
    <col min="1" max="1" width="5.85546875" style="14" customWidth="1"/>
    <col min="2" max="2" width="53.85546875" style="4" customWidth="1"/>
    <col min="3" max="3" width="9" style="14" customWidth="1"/>
    <col min="4" max="4" width="11.42578125" style="20" hidden="1" customWidth="1" outlineLevel="1"/>
    <col min="5" max="5" width="11.7109375" style="20" hidden="1" customWidth="1" outlineLevel="1"/>
    <col min="6" max="7" width="10.5703125" style="44" hidden="1" customWidth="1" outlineLevel="1"/>
    <col min="8" max="8" width="11.7109375" style="44" hidden="1" customWidth="1" outlineLevel="1"/>
    <col min="9" max="9" width="11.7109375" style="44" hidden="1" customWidth="1" outlineLevel="1" collapsed="1"/>
    <col min="10" max="10" width="10.42578125" style="44" hidden="1" customWidth="1" outlineLevel="1"/>
    <col min="11" max="11" width="10.42578125" style="44" hidden="1" customWidth="1" outlineLevel="1" collapsed="1"/>
    <col min="12" max="12" width="12.140625" style="44" hidden="1" customWidth="1" outlineLevel="1"/>
    <col min="13" max="13" width="12.42578125" style="44" hidden="1" customWidth="1" outlineLevel="1"/>
    <col min="14" max="14" width="12.42578125" style="44" customWidth="1" collapsed="1"/>
    <col min="15" max="15" width="11.85546875" style="44" hidden="1" customWidth="1" outlineLevel="1"/>
    <col min="16" max="16" width="13" style="44" hidden="1" customWidth="1" outlineLevel="1"/>
    <col min="17" max="17" width="12.42578125" style="44" hidden="1" customWidth="1" outlineLevel="1"/>
    <col min="18" max="18" width="13.42578125" style="44" hidden="1" customWidth="1" outlineLevel="1"/>
    <col min="19" max="21" width="12.42578125" style="44" hidden="1" customWidth="1" outlineLevel="1"/>
    <col min="22" max="22" width="12.42578125" style="44" customWidth="1" collapsed="1"/>
    <col min="23" max="23" width="12.42578125" style="44" hidden="1" customWidth="1" outlineLevel="1"/>
    <col min="24" max="24" width="10.28515625" style="44" hidden="1" customWidth="1" outlineLevel="1"/>
    <col min="25" max="25" width="15" style="44" customWidth="1" collapsed="1"/>
    <col min="26" max="29" width="9.42578125" style="44" bestFit="1" customWidth="1"/>
    <col min="30" max="30" width="15.140625" style="78" hidden="1" customWidth="1" outlineLevel="1"/>
    <col min="31" max="31" width="8.5703125" style="78" hidden="1" customWidth="1" outlineLevel="1"/>
    <col min="32" max="33" width="7.28515625" style="78" hidden="1" customWidth="1" outlineLevel="1"/>
    <col min="34" max="34" width="8.5703125" style="78" hidden="1" customWidth="1" outlineLevel="1"/>
    <col min="35" max="36" width="7.28515625" style="78" hidden="1" customWidth="1" outlineLevel="1"/>
    <col min="37" max="37" width="255.7109375" style="81" bestFit="1" customWidth="1" collapsed="1"/>
    <col min="38" max="39" width="9.140625" style="4" customWidth="1"/>
    <col min="40" max="40" width="9.140625" style="4"/>
    <col min="41" max="16384" width="9.140625" style="1"/>
  </cols>
  <sheetData>
    <row r="1" spans="1:76" ht="17.25" customHeight="1" outlineLevel="1">
      <c r="A1" s="189" t="s">
        <v>304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K1" s="173" t="s">
        <v>227</v>
      </c>
    </row>
    <row r="2" spans="1:76" ht="12.75" customHeight="1">
      <c r="A2" s="153"/>
      <c r="B2" s="154"/>
      <c r="C2" s="80"/>
      <c r="D2" s="154"/>
      <c r="E2" s="154"/>
      <c r="F2" s="154"/>
      <c r="G2" s="80"/>
      <c r="H2" s="80"/>
      <c r="I2" s="80"/>
      <c r="J2" s="80"/>
      <c r="K2" s="80"/>
      <c r="L2" s="80"/>
      <c r="M2" s="80"/>
      <c r="N2" s="80"/>
      <c r="O2" s="80"/>
      <c r="P2" s="80"/>
      <c r="Q2" s="80"/>
      <c r="R2" s="80"/>
      <c r="S2" s="80"/>
      <c r="T2" s="80"/>
      <c r="U2" s="80"/>
      <c r="V2" s="80"/>
      <c r="W2" s="80"/>
      <c r="X2" s="80"/>
      <c r="Y2" s="80"/>
      <c r="Z2" s="80"/>
      <c r="AK2" s="173" t="s">
        <v>232</v>
      </c>
    </row>
    <row r="3" spans="1:76" ht="30.75" hidden="1" customHeight="1" outlineLevel="1">
      <c r="A3" s="189" t="s">
        <v>311</v>
      </c>
      <c r="B3" s="189"/>
      <c r="C3" s="189"/>
      <c r="D3" s="189"/>
      <c r="E3" s="189"/>
      <c r="F3" s="189"/>
      <c r="G3" s="189"/>
      <c r="H3" s="189"/>
      <c r="I3" s="189"/>
      <c r="J3" s="189"/>
      <c r="K3" s="189"/>
      <c r="L3" s="189"/>
      <c r="M3" s="189"/>
      <c r="N3" s="189"/>
      <c r="O3" s="189"/>
      <c r="P3" s="189"/>
      <c r="Q3" s="189"/>
      <c r="R3" s="189"/>
      <c r="S3" s="189"/>
      <c r="T3" s="189"/>
      <c r="U3" s="189"/>
      <c r="V3" s="189"/>
      <c r="W3" s="189"/>
      <c r="X3" s="189"/>
      <c r="Y3" s="189"/>
      <c r="Z3" s="77"/>
      <c r="AA3" s="77"/>
      <c r="AB3" s="77"/>
      <c r="AC3" s="77"/>
    </row>
    <row r="4" spans="1:76" ht="14.25" customHeight="1" collapsed="1">
      <c r="P4" s="193"/>
      <c r="Q4" s="194"/>
      <c r="R4" s="194"/>
      <c r="S4" s="194"/>
      <c r="T4" s="194"/>
      <c r="U4" s="194"/>
      <c r="V4" s="194"/>
      <c r="W4" s="194"/>
      <c r="X4" s="194"/>
      <c r="Y4" s="155"/>
      <c r="Z4" s="155"/>
      <c r="AA4" s="155"/>
      <c r="AB4" s="204" t="s">
        <v>312</v>
      </c>
      <c r="AC4" s="155"/>
    </row>
    <row r="5" spans="1:76" ht="15.75" customHeight="1">
      <c r="A5" s="195" t="s">
        <v>1</v>
      </c>
      <c r="B5" s="197" t="s">
        <v>2</v>
      </c>
      <c r="C5" s="195" t="s">
        <v>3</v>
      </c>
      <c r="D5" s="5" t="s">
        <v>4</v>
      </c>
      <c r="E5" s="5" t="s">
        <v>4</v>
      </c>
      <c r="F5" s="45" t="s">
        <v>4</v>
      </c>
      <c r="G5" s="45" t="s">
        <v>4</v>
      </c>
      <c r="H5" s="45" t="s">
        <v>4</v>
      </c>
      <c r="I5" s="45" t="s">
        <v>4</v>
      </c>
      <c r="J5" s="47" t="s">
        <v>5</v>
      </c>
      <c r="K5" s="46" t="s">
        <v>163</v>
      </c>
      <c r="L5" s="46" t="s">
        <v>163</v>
      </c>
      <c r="M5" s="46" t="s">
        <v>163</v>
      </c>
      <c r="N5" s="46" t="s">
        <v>163</v>
      </c>
      <c r="O5" s="46" t="s">
        <v>164</v>
      </c>
      <c r="P5" s="47" t="s">
        <v>149</v>
      </c>
      <c r="Q5" s="46" t="s">
        <v>165</v>
      </c>
      <c r="R5" s="46" t="s">
        <v>4</v>
      </c>
      <c r="S5" s="46" t="s">
        <v>158</v>
      </c>
      <c r="T5" s="46" t="s">
        <v>163</v>
      </c>
      <c r="U5" s="46" t="s">
        <v>158</v>
      </c>
      <c r="V5" s="46" t="s">
        <v>4</v>
      </c>
      <c r="W5" s="46" t="s">
        <v>4</v>
      </c>
      <c r="X5" s="46" t="s">
        <v>158</v>
      </c>
      <c r="Y5" s="46" t="s">
        <v>4</v>
      </c>
      <c r="Z5" s="46" t="s">
        <v>158</v>
      </c>
      <c r="AA5" s="198" t="s">
        <v>101</v>
      </c>
      <c r="AB5" s="199"/>
      <c r="AC5" s="200"/>
      <c r="AD5" s="83" t="s">
        <v>112</v>
      </c>
      <c r="AE5" s="83"/>
      <c r="AF5" s="83"/>
      <c r="AG5" s="83"/>
      <c r="AH5" s="83"/>
      <c r="AI5" s="83"/>
      <c r="AJ5" s="83"/>
      <c r="AK5" s="84" t="s">
        <v>111</v>
      </c>
    </row>
    <row r="6" spans="1:76" ht="28.5" hidden="1" outlineLevel="1">
      <c r="A6" s="196"/>
      <c r="B6" s="197"/>
      <c r="C6" s="195"/>
      <c r="D6" s="5"/>
      <c r="E6" s="5"/>
      <c r="F6" s="45"/>
      <c r="G6" s="85" t="s">
        <v>166</v>
      </c>
      <c r="H6" s="45"/>
      <c r="I6" s="45"/>
      <c r="J6" s="47"/>
      <c r="K6" s="86" t="s">
        <v>167</v>
      </c>
      <c r="L6" s="86" t="s">
        <v>168</v>
      </c>
      <c r="M6" s="86" t="s">
        <v>169</v>
      </c>
      <c r="N6" s="85" t="s">
        <v>166</v>
      </c>
      <c r="O6" s="86"/>
      <c r="P6" s="87"/>
      <c r="Q6" s="86"/>
      <c r="R6" s="86" t="s">
        <v>170</v>
      </c>
      <c r="S6" s="86" t="s">
        <v>168</v>
      </c>
      <c r="T6" s="86" t="s">
        <v>169</v>
      </c>
      <c r="U6" s="86" t="s">
        <v>169</v>
      </c>
      <c r="V6" s="86"/>
      <c r="W6" s="86"/>
      <c r="X6" s="46"/>
      <c r="Y6" s="46"/>
      <c r="Z6" s="46"/>
      <c r="AA6" s="88"/>
      <c r="AB6" s="88"/>
      <c r="AC6" s="88"/>
      <c r="AD6" s="83"/>
      <c r="AE6" s="83"/>
      <c r="AF6" s="83"/>
      <c r="AG6" s="83"/>
      <c r="AH6" s="83"/>
      <c r="AI6" s="83"/>
      <c r="AJ6" s="83"/>
      <c r="AK6" s="89"/>
    </row>
    <row r="7" spans="1:76" ht="15.75" customHeight="1" collapsed="1">
      <c r="A7" s="196"/>
      <c r="B7" s="197"/>
      <c r="C7" s="195"/>
      <c r="D7" s="72" t="s">
        <v>6</v>
      </c>
      <c r="E7" s="72" t="s">
        <v>7</v>
      </c>
      <c r="F7" s="46" t="s">
        <v>8</v>
      </c>
      <c r="G7" s="46" t="s">
        <v>8</v>
      </c>
      <c r="H7" s="46" t="s">
        <v>114</v>
      </c>
      <c r="I7" s="46" t="s">
        <v>135</v>
      </c>
      <c r="J7" s="45" t="s">
        <v>9</v>
      </c>
      <c r="K7" s="46" t="s">
        <v>9</v>
      </c>
      <c r="L7" s="46" t="s">
        <v>9</v>
      </c>
      <c r="M7" s="46" t="s">
        <v>9</v>
      </c>
      <c r="N7" s="46" t="s">
        <v>9</v>
      </c>
      <c r="O7" s="46" t="s">
        <v>148</v>
      </c>
      <c r="P7" s="45" t="s">
        <v>10</v>
      </c>
      <c r="Q7" s="46" t="s">
        <v>10</v>
      </c>
      <c r="R7" s="46" t="s">
        <v>148</v>
      </c>
      <c r="S7" s="46" t="s">
        <v>10</v>
      </c>
      <c r="T7" s="46" t="s">
        <v>171</v>
      </c>
      <c r="U7" s="46" t="s">
        <v>10</v>
      </c>
      <c r="V7" s="46" t="s">
        <v>10</v>
      </c>
      <c r="W7" s="72" t="s">
        <v>211</v>
      </c>
      <c r="X7" s="86" t="s">
        <v>228</v>
      </c>
      <c r="Y7" s="72" t="s">
        <v>229</v>
      </c>
      <c r="Z7" s="46" t="s">
        <v>11</v>
      </c>
      <c r="AA7" s="45" t="s">
        <v>100</v>
      </c>
      <c r="AB7" s="45" t="s">
        <v>144</v>
      </c>
      <c r="AC7" s="45" t="s">
        <v>172</v>
      </c>
      <c r="AD7" s="45"/>
      <c r="AE7" s="83"/>
      <c r="AF7" s="83"/>
      <c r="AG7" s="83"/>
      <c r="AH7" s="83"/>
      <c r="AI7" s="83"/>
      <c r="AJ7" s="83"/>
      <c r="AK7" s="89"/>
      <c r="AL7" s="4">
        <v>2019</v>
      </c>
      <c r="AM7" s="4">
        <v>2020</v>
      </c>
    </row>
    <row r="8" spans="1:76" ht="13.5" hidden="1" customHeight="1" outlineLevel="1">
      <c r="A8" s="157"/>
      <c r="B8" s="67" t="s">
        <v>150</v>
      </c>
      <c r="C8" s="156"/>
      <c r="D8" s="72"/>
      <c r="E8" s="72"/>
      <c r="F8" s="46"/>
      <c r="G8" s="46"/>
      <c r="H8" s="46"/>
      <c r="I8" s="46"/>
      <c r="J8" s="45"/>
      <c r="K8" s="46"/>
      <c r="L8" s="46"/>
      <c r="M8" s="46"/>
      <c r="N8" s="46"/>
      <c r="O8" s="46"/>
      <c r="P8" s="45"/>
      <c r="Q8" s="90">
        <v>1.1559999999999999</v>
      </c>
      <c r="R8" s="46"/>
      <c r="S8" s="90"/>
      <c r="T8" s="90"/>
      <c r="U8" s="90"/>
      <c r="V8" s="90"/>
      <c r="W8" s="90"/>
      <c r="X8" s="91">
        <v>1.0640000000000001</v>
      </c>
      <c r="Y8" s="91"/>
      <c r="Z8" s="91"/>
      <c r="AA8" s="91">
        <v>1.0609999999999999</v>
      </c>
      <c r="AB8" s="91">
        <v>1.052</v>
      </c>
      <c r="AC8" s="91"/>
      <c r="AD8" s="45"/>
      <c r="AE8" s="83"/>
      <c r="AF8" s="83"/>
      <c r="AG8" s="83"/>
      <c r="AH8" s="83"/>
      <c r="AI8" s="83"/>
      <c r="AJ8" s="83"/>
      <c r="AK8" s="89"/>
    </row>
    <row r="9" spans="1:76" ht="17.25" customHeight="1" collapsed="1">
      <c r="A9" s="178" t="s">
        <v>12</v>
      </c>
      <c r="B9" s="92" t="s">
        <v>13</v>
      </c>
      <c r="C9" s="93"/>
      <c r="D9" s="63"/>
      <c r="E9" s="63"/>
      <c r="F9" s="63"/>
      <c r="G9" s="93"/>
      <c r="H9" s="93"/>
      <c r="I9" s="93"/>
      <c r="J9" s="93"/>
      <c r="K9" s="93"/>
      <c r="L9" s="93"/>
      <c r="M9" s="94"/>
      <c r="N9" s="94"/>
      <c r="O9" s="93"/>
      <c r="P9" s="93"/>
      <c r="Q9" s="93"/>
      <c r="R9" s="93"/>
      <c r="S9" s="93"/>
      <c r="T9" s="93"/>
      <c r="U9" s="93"/>
      <c r="V9" s="93"/>
      <c r="W9" s="93"/>
      <c r="X9" s="93"/>
      <c r="Y9" s="93"/>
      <c r="Z9" s="93"/>
      <c r="AA9" s="94"/>
      <c r="AB9" s="94"/>
      <c r="AC9" s="94"/>
      <c r="AD9" s="95" t="s">
        <v>14</v>
      </c>
      <c r="AE9" s="96" t="s">
        <v>15</v>
      </c>
      <c r="AF9" s="96" t="s">
        <v>16</v>
      </c>
      <c r="AG9" s="96" t="s">
        <v>109</v>
      </c>
      <c r="AH9" s="96" t="s">
        <v>145</v>
      </c>
      <c r="AI9" s="96" t="s">
        <v>146</v>
      </c>
      <c r="AJ9" s="96" t="s">
        <v>147</v>
      </c>
      <c r="AK9" s="89"/>
    </row>
    <row r="10" spans="1:76" ht="17.25" customHeight="1">
      <c r="A10" s="178" t="s">
        <v>17</v>
      </c>
      <c r="B10" s="9" t="s">
        <v>18</v>
      </c>
      <c r="C10" s="9" t="s">
        <v>102</v>
      </c>
      <c r="D10" s="66">
        <v>22.038</v>
      </c>
      <c r="E10" s="64">
        <v>22.643999999999998</v>
      </c>
      <c r="F10" s="64">
        <v>23.151</v>
      </c>
      <c r="G10" s="54">
        <v>23.151</v>
      </c>
      <c r="H10" s="54" t="s">
        <v>120</v>
      </c>
      <c r="I10" s="54">
        <f>F10+0.079+0.056</f>
        <v>23.286000000000001</v>
      </c>
      <c r="J10" s="54">
        <f>F10+J11+J12</f>
        <v>23.626139999999999</v>
      </c>
      <c r="K10" s="54">
        <f>F10+K11+K12</f>
        <v>23.665000000000003</v>
      </c>
      <c r="L10" s="54">
        <v>23.664999999999999</v>
      </c>
      <c r="M10" s="54">
        <v>23.664999999999999</v>
      </c>
      <c r="N10" s="11">
        <v>23.664999999999999</v>
      </c>
      <c r="O10" s="11">
        <v>23.664999999999999</v>
      </c>
      <c r="P10" s="11">
        <f>K10+P11+P12</f>
        <v>24.103000000000005</v>
      </c>
      <c r="Q10" s="11">
        <v>24.103000000000002</v>
      </c>
      <c r="R10" s="11">
        <v>23.664999999999999</v>
      </c>
      <c r="S10" s="11">
        <v>24.103000000000002</v>
      </c>
      <c r="T10" s="103">
        <v>23.939</v>
      </c>
      <c r="U10" s="11">
        <f>M10+U11+U12</f>
        <v>24.158628284765328</v>
      </c>
      <c r="V10" s="11">
        <v>24.236999999999998</v>
      </c>
      <c r="W10" s="11">
        <f>V10</f>
        <v>24.236999999999998</v>
      </c>
      <c r="X10" s="11">
        <v>24.806000000000001</v>
      </c>
      <c r="Y10" s="11">
        <f>X10</f>
        <v>24.806000000000001</v>
      </c>
      <c r="Z10" s="11">
        <f>X10</f>
        <v>24.806000000000001</v>
      </c>
      <c r="AA10" s="11">
        <v>25.347000000000001</v>
      </c>
      <c r="AB10" s="11">
        <v>25.888000000000002</v>
      </c>
      <c r="AC10" s="11">
        <v>26.216999999999999</v>
      </c>
      <c r="AD10" s="99">
        <f t="shared" ref="AD10:AE13" si="0">E10/D10</f>
        <v>1.0274979580724202</v>
      </c>
      <c r="AE10" s="99">
        <f t="shared" si="0"/>
        <v>1.0223900370959196</v>
      </c>
      <c r="AF10" s="99">
        <f>K10/F10</f>
        <v>1.0222020647056285</v>
      </c>
      <c r="AG10" s="100">
        <f>P10/K10</f>
        <v>1.018508345658145</v>
      </c>
      <c r="AH10" s="100">
        <f>X10/P10</f>
        <v>1.0291664937974525</v>
      </c>
      <c r="AI10" s="100">
        <f>AA10/X10</f>
        <v>1.0218092397000726</v>
      </c>
      <c r="AJ10" s="100">
        <f>AB10/AA10</f>
        <v>1.0213437487671124</v>
      </c>
      <c r="AK10" s="174" t="s">
        <v>278</v>
      </c>
      <c r="AL10" s="62">
        <f>AB10+AL11+AL12</f>
        <v>26.429350000000003</v>
      </c>
      <c r="AM10" s="62">
        <f>AL10+AM11+AM12</f>
        <v>26.972736833333336</v>
      </c>
      <c r="AN10" s="102" t="s">
        <v>174</v>
      </c>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row>
    <row r="11" spans="1:76" ht="29.25" customHeight="1">
      <c r="A11" s="178" t="s">
        <v>20</v>
      </c>
      <c r="B11" s="9" t="s">
        <v>21</v>
      </c>
      <c r="C11" s="9" t="s">
        <v>22</v>
      </c>
      <c r="D11" s="65">
        <v>0.11700000000000001</v>
      </c>
      <c r="E11" s="65">
        <v>0.14099999999999999</v>
      </c>
      <c r="F11" s="64">
        <f>164/1000</f>
        <v>0.16400000000000001</v>
      </c>
      <c r="G11" s="54">
        <f>164/1000</f>
        <v>0.16400000000000001</v>
      </c>
      <c r="H11" s="48">
        <f>76/1000</f>
        <v>7.5999999999999998E-2</v>
      </c>
      <c r="I11" s="48" t="s">
        <v>137</v>
      </c>
      <c r="J11" s="48">
        <f>(79*2)/1000</f>
        <v>0.158</v>
      </c>
      <c r="K11" s="48">
        <v>0.19</v>
      </c>
      <c r="L11" s="48">
        <v>0.19</v>
      </c>
      <c r="M11" s="54">
        <v>0.19</v>
      </c>
      <c r="N11" s="11">
        <v>0.19</v>
      </c>
      <c r="O11" s="55" t="s">
        <v>141</v>
      </c>
      <c r="P11" s="11">
        <f>164/1000</f>
        <v>0.16400000000000001</v>
      </c>
      <c r="Q11" s="11">
        <f>164/1000</f>
        <v>0.16400000000000001</v>
      </c>
      <c r="R11" s="55" t="s">
        <v>141</v>
      </c>
      <c r="S11" s="11">
        <f>164/1000</f>
        <v>0.16400000000000001</v>
      </c>
      <c r="T11" s="103" t="s">
        <v>141</v>
      </c>
      <c r="U11" s="11">
        <f>(164+190)/2/1000</f>
        <v>0.17699999999999999</v>
      </c>
      <c r="V11" s="11">
        <v>0.251</v>
      </c>
      <c r="W11" s="55" t="s">
        <v>141</v>
      </c>
      <c r="X11" s="11">
        <f>(V11+M11+F11)/3</f>
        <v>0.20166666666666666</v>
      </c>
      <c r="Y11" s="55" t="s">
        <v>141</v>
      </c>
      <c r="Z11" s="11">
        <f t="shared" ref="Z11:Z13" si="1">X11</f>
        <v>0.20166666666666666</v>
      </c>
      <c r="AA11" s="11">
        <f>X11</f>
        <v>0.20166666666666666</v>
      </c>
      <c r="AB11" s="11">
        <f t="shared" ref="AB11:AC12" si="2">AA11</f>
        <v>0.20166666666666666</v>
      </c>
      <c r="AC11" s="11">
        <f t="shared" si="2"/>
        <v>0.20166666666666666</v>
      </c>
      <c r="AD11" s="99">
        <f t="shared" si="0"/>
        <v>1.2051282051282048</v>
      </c>
      <c r="AE11" s="99">
        <f t="shared" si="0"/>
        <v>1.1631205673758866</v>
      </c>
      <c r="AF11" s="99">
        <f>K11/F11</f>
        <v>1.1585365853658536</v>
      </c>
      <c r="AG11" s="100">
        <f>P11/K11</f>
        <v>0.86315789473684212</v>
      </c>
      <c r="AH11" s="100">
        <f>X11/P11</f>
        <v>1.2296747967479673</v>
      </c>
      <c r="AI11" s="100">
        <f>AA11/X11</f>
        <v>1</v>
      </c>
      <c r="AJ11" s="100">
        <f t="shared" ref="AJ11:AJ13" si="3">AB11/AA11</f>
        <v>1</v>
      </c>
      <c r="AK11" s="174" t="s">
        <v>278</v>
      </c>
      <c r="AL11" s="32">
        <f>AB11*1.01</f>
        <v>0.20368333333333333</v>
      </c>
      <c r="AM11" s="104">
        <f>AL11*1.01</f>
        <v>0.20572016666666668</v>
      </c>
      <c r="AN11" s="6"/>
    </row>
    <row r="12" spans="1:76" ht="29.25" customHeight="1">
      <c r="A12" s="178" t="s">
        <v>23</v>
      </c>
      <c r="B12" s="9" t="s">
        <v>24</v>
      </c>
      <c r="C12" s="9" t="s">
        <v>22</v>
      </c>
      <c r="D12" s="66">
        <v>0.55800000000000005</v>
      </c>
      <c r="E12" s="66">
        <v>0.39600000000000002</v>
      </c>
      <c r="F12" s="64">
        <f>314/1000</f>
        <v>0.314</v>
      </c>
      <c r="G12" s="54">
        <f>314/1000</f>
        <v>0.314</v>
      </c>
      <c r="H12" s="11">
        <f>56/1000</f>
        <v>5.6000000000000001E-2</v>
      </c>
      <c r="I12" s="11" t="s">
        <v>138</v>
      </c>
      <c r="J12" s="11">
        <f>314*1.01/1000</f>
        <v>0.31713999999999998</v>
      </c>
      <c r="K12" s="11">
        <f>0.359-0.035</f>
        <v>0.32399999999999995</v>
      </c>
      <c r="L12" s="11">
        <f>0.359-0.035</f>
        <v>0.32399999999999995</v>
      </c>
      <c r="M12" s="54">
        <v>0.35899999999999999</v>
      </c>
      <c r="N12" s="11">
        <v>0.35899999999999999</v>
      </c>
      <c r="O12" s="55" t="s">
        <v>141</v>
      </c>
      <c r="P12" s="11">
        <f>314/1000-0.04</f>
        <v>0.27400000000000002</v>
      </c>
      <c r="Q12" s="11">
        <f>314/1000-0.04</f>
        <v>0.27400000000000002</v>
      </c>
      <c r="R12" s="55" t="s">
        <v>141</v>
      </c>
      <c r="S12" s="11">
        <f>314/1000-0.04</f>
        <v>0.27400000000000002</v>
      </c>
      <c r="T12" s="103" t="s">
        <v>141</v>
      </c>
      <c r="U12" s="11">
        <f>((E12/D12)+(F12/E12)+(M12/F12))/3*M12</f>
        <v>0.31662828476533011</v>
      </c>
      <c r="V12" s="11">
        <v>0.34</v>
      </c>
      <c r="W12" s="55" t="s">
        <v>141</v>
      </c>
      <c r="X12" s="11">
        <f>(V12+M12+F12)/3</f>
        <v>0.33766666666666673</v>
      </c>
      <c r="Y12" s="55" t="s">
        <v>141</v>
      </c>
      <c r="Z12" s="11">
        <f t="shared" si="1"/>
        <v>0.33766666666666673</v>
      </c>
      <c r="AA12" s="11">
        <f>X12</f>
        <v>0.33766666666666673</v>
      </c>
      <c r="AB12" s="11">
        <f t="shared" si="2"/>
        <v>0.33766666666666673</v>
      </c>
      <c r="AC12" s="11">
        <f t="shared" si="2"/>
        <v>0.33766666666666673</v>
      </c>
      <c r="AD12" s="99">
        <f t="shared" si="0"/>
        <v>0.70967741935483863</v>
      </c>
      <c r="AE12" s="99">
        <f t="shared" si="0"/>
        <v>0.79292929292929293</v>
      </c>
      <c r="AF12" s="99">
        <f>K12/F12</f>
        <v>1.0318471337579616</v>
      </c>
      <c r="AG12" s="100">
        <f>P12/K12</f>
        <v>0.84567901234567922</v>
      </c>
      <c r="AH12" s="100">
        <f>X12/P12</f>
        <v>1.2323600973236011</v>
      </c>
      <c r="AI12" s="100">
        <f>AA12/X12</f>
        <v>1</v>
      </c>
      <c r="AJ12" s="100">
        <f t="shared" si="3"/>
        <v>1</v>
      </c>
      <c r="AK12" s="174" t="s">
        <v>278</v>
      </c>
      <c r="AL12" s="22">
        <f>AB12</f>
        <v>0.33766666666666673</v>
      </c>
      <c r="AM12" s="105">
        <f>AL12</f>
        <v>0.33766666666666673</v>
      </c>
      <c r="AN12" s="6"/>
    </row>
    <row r="13" spans="1:76" ht="29.25" customHeight="1">
      <c r="A13" s="178" t="s">
        <v>25</v>
      </c>
      <c r="B13" s="9" t="s">
        <v>26</v>
      </c>
      <c r="C13" s="9" t="s">
        <v>22</v>
      </c>
      <c r="D13" s="22">
        <v>14.12</v>
      </c>
      <c r="E13" s="21">
        <v>14.26</v>
      </c>
      <c r="F13" s="11">
        <f>14258/1000</f>
        <v>14.257999999999999</v>
      </c>
      <c r="G13" s="11">
        <f>14258/1000</f>
        <v>14.257999999999999</v>
      </c>
      <c r="H13" s="11" t="s">
        <v>119</v>
      </c>
      <c r="I13" s="11" t="s">
        <v>119</v>
      </c>
      <c r="J13" s="11">
        <f>SUM(F13*1.01)</f>
        <v>14.40058</v>
      </c>
      <c r="K13" s="11">
        <v>14.438000000000001</v>
      </c>
      <c r="L13" s="11">
        <v>14.4</v>
      </c>
      <c r="M13" s="11">
        <v>14.590999999999999</v>
      </c>
      <c r="N13" s="11">
        <v>14.590999999999999</v>
      </c>
      <c r="O13" s="71" t="s">
        <v>141</v>
      </c>
      <c r="P13" s="11">
        <v>14.6</v>
      </c>
      <c r="Q13" s="11">
        <v>14.6</v>
      </c>
      <c r="R13" s="71" t="s">
        <v>141</v>
      </c>
      <c r="S13" s="11">
        <v>14.6</v>
      </c>
      <c r="T13" s="55" t="s">
        <v>141</v>
      </c>
      <c r="U13" s="11">
        <v>14.6</v>
      </c>
      <c r="V13" s="11" t="s">
        <v>176</v>
      </c>
      <c r="W13" s="71" t="s">
        <v>141</v>
      </c>
      <c r="X13" s="11">
        <v>14.7</v>
      </c>
      <c r="Y13" s="71" t="s">
        <v>141</v>
      </c>
      <c r="Z13" s="11">
        <f t="shared" si="1"/>
        <v>14.7</v>
      </c>
      <c r="AA13" s="11">
        <v>14.8</v>
      </c>
      <c r="AB13" s="11">
        <v>14.9</v>
      </c>
      <c r="AC13" s="11">
        <f>AB13</f>
        <v>14.9</v>
      </c>
      <c r="AD13" s="99">
        <f t="shared" si="0"/>
        <v>1.0099150141643061</v>
      </c>
      <c r="AE13" s="99">
        <f t="shared" si="0"/>
        <v>0.99985974754558204</v>
      </c>
      <c r="AF13" s="99">
        <f>K13/F13</f>
        <v>1.0126244915135363</v>
      </c>
      <c r="AG13" s="100">
        <f>P13/K13</f>
        <v>1.0112203906358221</v>
      </c>
      <c r="AH13" s="100">
        <f>X13/P13</f>
        <v>1.0068493150684932</v>
      </c>
      <c r="AI13" s="100">
        <f>AA13/X13</f>
        <v>1.0068027210884354</v>
      </c>
      <c r="AJ13" s="100">
        <f t="shared" si="3"/>
        <v>1.0067567567567568</v>
      </c>
      <c r="AK13" s="174" t="s">
        <v>278</v>
      </c>
      <c r="AL13" s="6"/>
      <c r="AM13" s="6"/>
      <c r="AN13" s="6"/>
    </row>
    <row r="14" spans="1:76">
      <c r="A14" s="178" t="s">
        <v>27</v>
      </c>
      <c r="B14" s="107" t="s">
        <v>28</v>
      </c>
      <c r="C14" s="93"/>
      <c r="D14" s="60"/>
      <c r="E14" s="60"/>
      <c r="F14" s="93"/>
      <c r="G14" s="23"/>
      <c r="H14" s="23"/>
      <c r="I14" s="23"/>
      <c r="J14" s="23"/>
      <c r="K14" s="23"/>
      <c r="L14" s="23"/>
      <c r="M14" s="23"/>
      <c r="N14" s="23"/>
      <c r="O14" s="23"/>
      <c r="P14" s="23"/>
      <c r="Q14" s="23"/>
      <c r="R14" s="23"/>
      <c r="S14" s="23"/>
      <c r="T14" s="23"/>
      <c r="U14" s="23"/>
      <c r="V14" s="23"/>
      <c r="W14" s="23"/>
      <c r="X14" s="23"/>
      <c r="Y14" s="23"/>
      <c r="Z14" s="23"/>
      <c r="AA14" s="23"/>
      <c r="AB14" s="23"/>
      <c r="AC14" s="23"/>
      <c r="AD14" s="23">
        <f t="shared" ref="AD14:AJ14" si="4">AD23*AD18*12/1000</f>
        <v>0</v>
      </c>
      <c r="AE14" s="23">
        <f t="shared" si="4"/>
        <v>0</v>
      </c>
      <c r="AF14" s="23">
        <f t="shared" si="4"/>
        <v>0</v>
      </c>
      <c r="AG14" s="23">
        <f t="shared" si="4"/>
        <v>0</v>
      </c>
      <c r="AH14" s="23">
        <f t="shared" si="4"/>
        <v>0</v>
      </c>
      <c r="AI14" s="23">
        <f t="shared" si="4"/>
        <v>0</v>
      </c>
      <c r="AJ14" s="23">
        <f t="shared" si="4"/>
        <v>0</v>
      </c>
      <c r="AK14" s="108"/>
      <c r="AL14" s="6"/>
      <c r="AM14" s="6"/>
      <c r="AN14" s="6"/>
    </row>
    <row r="15" spans="1:76" ht="45">
      <c r="A15" s="178" t="s">
        <v>29</v>
      </c>
      <c r="B15" s="9" t="s">
        <v>30</v>
      </c>
      <c r="C15" s="9" t="s">
        <v>31</v>
      </c>
      <c r="D15" s="23">
        <v>8670.7999999999993</v>
      </c>
      <c r="E15" s="23">
        <v>9248.2000000000007</v>
      </c>
      <c r="F15" s="23">
        <v>10156.270399999999</v>
      </c>
      <c r="G15" s="109">
        <f>G17+(G18-G20)*G23*0.5*12/1000</f>
        <v>10156.270399999999</v>
      </c>
      <c r="H15" s="23" t="s">
        <v>116</v>
      </c>
      <c r="I15" s="23" t="s">
        <v>139</v>
      </c>
      <c r="J15" s="23">
        <f>PRODUCT(F15*1.1)</f>
        <v>11171.897440000001</v>
      </c>
      <c r="K15" s="23">
        <v>10224.038</v>
      </c>
      <c r="L15" s="23">
        <v>10224.038</v>
      </c>
      <c r="M15" s="23">
        <v>10224.038</v>
      </c>
      <c r="N15" s="23">
        <f>N17+(N18-N20)*N22*0.5*12/1000</f>
        <v>11236.808045</v>
      </c>
      <c r="O15" s="71" t="s">
        <v>141</v>
      </c>
      <c r="P15" s="23">
        <f>P18*P23/100</f>
        <v>0</v>
      </c>
      <c r="Q15" s="23">
        <f>P15</f>
        <v>0</v>
      </c>
      <c r="R15" s="71" t="s">
        <v>141</v>
      </c>
      <c r="S15" s="23">
        <f>S18*S23/100</f>
        <v>0</v>
      </c>
      <c r="T15" s="23" t="s">
        <v>178</v>
      </c>
      <c r="U15" s="23">
        <f>5406.7*2</f>
        <v>10813.4</v>
      </c>
      <c r="V15" s="23">
        <f>V17+(V18-V20)*V22*0.5*12/1000</f>
        <v>11769.755925000001</v>
      </c>
      <c r="W15" s="71" t="s">
        <v>141</v>
      </c>
      <c r="X15" s="23">
        <f>X17+(X18-X20)*X22*0.5*12/1000</f>
        <v>11607.234949905</v>
      </c>
      <c r="Y15" s="23" t="s">
        <v>305</v>
      </c>
      <c r="Z15" s="23">
        <f t="shared" ref="Z15:AC15" si="5">Z17+(Z18-Z20)*Z22*0.5*12/1000</f>
        <v>12579.820176262248</v>
      </c>
      <c r="AA15" s="23">
        <f t="shared" si="5"/>
        <v>12415.751303999999</v>
      </c>
      <c r="AB15" s="23">
        <f t="shared" si="5"/>
        <v>12537.581072999999</v>
      </c>
      <c r="AC15" s="23">
        <f t="shared" si="5"/>
        <v>12659.410842000001</v>
      </c>
      <c r="AD15" s="99">
        <f>E15/D15</f>
        <v>1.0665913179868065</v>
      </c>
      <c r="AE15" s="99">
        <f>F15/E15</f>
        <v>1.0981888799982698</v>
      </c>
      <c r="AF15" s="99">
        <f>K15/F15</f>
        <v>1.0066724887513827</v>
      </c>
      <c r="AG15" s="100">
        <f>P15/K15</f>
        <v>0</v>
      </c>
      <c r="AH15" s="100" t="e">
        <f>X15/P15</f>
        <v>#DIV/0!</v>
      </c>
      <c r="AI15" s="100">
        <f>AA15/X15</f>
        <v>1.0696562409208075</v>
      </c>
      <c r="AJ15" s="100">
        <f t="shared" ref="AJ15:AJ18" si="6">AB15/AA15</f>
        <v>1.0098125168599945</v>
      </c>
      <c r="AK15" s="174" t="s">
        <v>279</v>
      </c>
      <c r="AL15" s="6"/>
      <c r="AM15" s="6">
        <f>AA15/X15</f>
        <v>1.0696562409208075</v>
      </c>
      <c r="AN15" s="6"/>
    </row>
    <row r="16" spans="1:76" hidden="1" outlineLevel="1">
      <c r="A16" s="178"/>
      <c r="B16" s="9" t="s">
        <v>180</v>
      </c>
      <c r="C16" s="9"/>
      <c r="D16" s="23"/>
      <c r="E16" s="23"/>
      <c r="F16" s="23"/>
      <c r="G16" s="23"/>
      <c r="H16" s="23"/>
      <c r="I16" s="23"/>
      <c r="J16" s="23"/>
      <c r="K16" s="23"/>
      <c r="L16" s="23"/>
      <c r="M16" s="23"/>
      <c r="N16" s="23"/>
      <c r="O16" s="71"/>
      <c r="P16" s="23"/>
      <c r="Q16" s="23"/>
      <c r="R16" s="71"/>
      <c r="S16" s="23"/>
      <c r="T16" s="23"/>
      <c r="U16" s="23"/>
      <c r="V16" s="23"/>
      <c r="W16" s="23"/>
      <c r="X16" s="23"/>
      <c r="Y16" s="23"/>
      <c r="Z16" s="23"/>
      <c r="AA16" s="23"/>
      <c r="AB16" s="99"/>
      <c r="AC16" s="99"/>
      <c r="AD16" s="99"/>
      <c r="AE16" s="99"/>
      <c r="AF16" s="99"/>
      <c r="AG16" s="100"/>
      <c r="AH16" s="100"/>
      <c r="AI16" s="100"/>
      <c r="AJ16" s="100"/>
      <c r="AK16" s="89"/>
      <c r="AL16" s="6"/>
      <c r="AM16" s="6"/>
      <c r="AN16" s="6"/>
    </row>
    <row r="17" spans="1:40" ht="45" hidden="1" outlineLevel="1">
      <c r="A17" s="179" t="s">
        <v>181</v>
      </c>
      <c r="B17" s="9" t="s">
        <v>182</v>
      </c>
      <c r="C17" s="9" t="s">
        <v>31</v>
      </c>
      <c r="D17" s="23"/>
      <c r="E17" s="23"/>
      <c r="F17" s="23"/>
      <c r="G17" s="23">
        <f>10156.2704</f>
        <v>10156.270399999999</v>
      </c>
      <c r="H17" s="23"/>
      <c r="I17" s="23"/>
      <c r="J17" s="23"/>
      <c r="K17" s="23"/>
      <c r="L17" s="23"/>
      <c r="M17" s="23"/>
      <c r="N17" s="23">
        <f>10224.038</f>
        <v>10224.038</v>
      </c>
      <c r="O17" s="71"/>
      <c r="P17" s="23"/>
      <c r="Q17" s="23"/>
      <c r="R17" s="71"/>
      <c r="S17" s="23"/>
      <c r="T17" s="23"/>
      <c r="U17" s="23"/>
      <c r="V17" s="23">
        <f>10691.709</f>
        <v>10691.709000000001</v>
      </c>
      <c r="W17" s="71" t="s">
        <v>141</v>
      </c>
      <c r="X17" s="23">
        <f>X22*X20/1000*12</f>
        <v>10559.37961869</v>
      </c>
      <c r="Y17" s="23" t="s">
        <v>277</v>
      </c>
      <c r="Z17" s="23">
        <f t="shared" ref="Z17:AC17" si="7">Z22*Z20/1000*12</f>
        <v>11510.963522803793</v>
      </c>
      <c r="AA17" s="176">
        <f t="shared" si="7"/>
        <v>11372.453076</v>
      </c>
      <c r="AB17" s="176">
        <f t="shared" si="7"/>
        <v>11485.909664999999</v>
      </c>
      <c r="AC17" s="176">
        <f t="shared" si="7"/>
        <v>11599.366254</v>
      </c>
      <c r="AD17" s="99"/>
      <c r="AE17" s="99"/>
      <c r="AF17" s="99"/>
      <c r="AG17" s="100"/>
      <c r="AH17" s="100"/>
      <c r="AI17" s="100"/>
      <c r="AJ17" s="100"/>
      <c r="AK17" s="174" t="s">
        <v>267</v>
      </c>
      <c r="AL17" s="6"/>
      <c r="AM17" s="6"/>
      <c r="AN17" s="6"/>
    </row>
    <row r="18" spans="1:40" ht="30.75" customHeight="1" collapsed="1">
      <c r="A18" s="178" t="s">
        <v>32</v>
      </c>
      <c r="B18" s="9" t="s">
        <v>33</v>
      </c>
      <c r="C18" s="9" t="s">
        <v>19</v>
      </c>
      <c r="D18" s="66">
        <v>15.606999999999999</v>
      </c>
      <c r="E18" s="66">
        <v>15.449</v>
      </c>
      <c r="F18" s="64">
        <v>13.615</v>
      </c>
      <c r="G18" s="97">
        <v>15.459</v>
      </c>
      <c r="H18" s="54" t="s">
        <v>118</v>
      </c>
      <c r="I18" s="54" t="s">
        <v>118</v>
      </c>
      <c r="J18" s="54">
        <v>15.468999999999999</v>
      </c>
      <c r="K18" s="54">
        <v>15.257999999999999</v>
      </c>
      <c r="L18" s="54">
        <v>15.257999999999999</v>
      </c>
      <c r="M18" s="54">
        <v>12.734999999999999</v>
      </c>
      <c r="N18" s="11">
        <v>15.257999999999999</v>
      </c>
      <c r="O18" s="11" t="s">
        <v>154</v>
      </c>
      <c r="P18" s="11">
        <v>15.268000000000001</v>
      </c>
      <c r="Q18" s="11">
        <v>15.268000000000001</v>
      </c>
      <c r="R18" s="11" t="s">
        <v>154</v>
      </c>
      <c r="S18" s="11">
        <v>15.268000000000001</v>
      </c>
      <c r="T18" s="11" t="s">
        <v>183</v>
      </c>
      <c r="U18" s="11">
        <f>12.735+(12.865-12.735)*2</f>
        <v>12.995000000000001</v>
      </c>
      <c r="V18" s="166">
        <f>N18+(V20-N20)+(V27-N27)/1000</f>
        <v>15.343999999999999</v>
      </c>
      <c r="W18" s="55" t="s">
        <v>141</v>
      </c>
      <c r="X18" s="166">
        <f>V18</f>
        <v>15.343999999999999</v>
      </c>
      <c r="Y18" s="166">
        <f>V18+(Y20-V20)+(Y27-V27)/1000</f>
        <v>15.782999999999999</v>
      </c>
      <c r="Z18" s="166">
        <f>Y18</f>
        <v>15.782999999999999</v>
      </c>
      <c r="AA18" s="166">
        <f>Z18+(AA20-Z20)+(AA27-Z27)/1000</f>
        <v>16.074000000000002</v>
      </c>
      <c r="AB18" s="166">
        <f t="shared" ref="AB18:AC18" si="8">AA18+(AB20-AA20)+(AB27-AA27)/1000</f>
        <v>16.229500000000002</v>
      </c>
      <c r="AC18" s="166">
        <f t="shared" si="8"/>
        <v>16.385000000000002</v>
      </c>
      <c r="AD18" s="99">
        <f>E18/D18</f>
        <v>0.98987633754084714</v>
      </c>
      <c r="AE18" s="99">
        <f>F18/E18</f>
        <v>0.88128681468056191</v>
      </c>
      <c r="AF18" s="99">
        <f>K18/F18</f>
        <v>1.1206757253029747</v>
      </c>
      <c r="AG18" s="100">
        <f>P18/K18</f>
        <v>1.0006553938917291</v>
      </c>
      <c r="AH18" s="100">
        <f>X18/P18</f>
        <v>1.004977731202515</v>
      </c>
      <c r="AI18" s="100">
        <f>AA18/X18</f>
        <v>1.047575599582899</v>
      </c>
      <c r="AJ18" s="100">
        <f t="shared" si="6"/>
        <v>1.0096740077143214</v>
      </c>
      <c r="AK18" s="174" t="s">
        <v>284</v>
      </c>
      <c r="AL18" s="112"/>
      <c r="AM18" s="6">
        <f>AA18/X18</f>
        <v>1.047575599582899</v>
      </c>
    </row>
    <row r="19" spans="1:40" hidden="1" outlineLevel="1">
      <c r="A19" s="178"/>
      <c r="B19" s="9" t="s">
        <v>180</v>
      </c>
      <c r="C19" s="9"/>
      <c r="D19" s="66"/>
      <c r="E19" s="66"/>
      <c r="F19" s="64"/>
      <c r="G19" s="97"/>
      <c r="H19" s="11"/>
      <c r="I19" s="11"/>
      <c r="J19" s="11"/>
      <c r="K19" s="11"/>
      <c r="L19" s="11"/>
      <c r="M19" s="54"/>
      <c r="N19" s="97"/>
      <c r="O19" s="11"/>
      <c r="P19" s="11"/>
      <c r="Q19" s="11"/>
      <c r="R19" s="11"/>
      <c r="S19" s="11"/>
      <c r="T19" s="11"/>
      <c r="U19" s="54"/>
      <c r="V19" s="54"/>
      <c r="W19" s="54"/>
      <c r="X19" s="54"/>
      <c r="Y19" s="54"/>
      <c r="Z19" s="54"/>
      <c r="AA19" s="54"/>
      <c r="AB19" s="54"/>
      <c r="AC19" s="54"/>
      <c r="AD19" s="99"/>
      <c r="AE19" s="99"/>
      <c r="AF19" s="99"/>
      <c r="AG19" s="100"/>
      <c r="AH19" s="100"/>
      <c r="AI19" s="100"/>
      <c r="AJ19" s="100"/>
      <c r="AK19" s="101"/>
      <c r="AL19" s="112"/>
      <c r="AM19" s="6"/>
    </row>
    <row r="20" spans="1:40" ht="30" hidden="1" outlineLevel="1">
      <c r="A20" s="178" t="s">
        <v>185</v>
      </c>
      <c r="B20" s="9" t="s">
        <v>186</v>
      </c>
      <c r="C20" s="9" t="s">
        <v>19</v>
      </c>
      <c r="D20" s="66"/>
      <c r="E20" s="113">
        <v>13.351000000000001</v>
      </c>
      <c r="F20" s="64"/>
      <c r="G20" s="54">
        <v>13.615</v>
      </c>
      <c r="H20" s="11"/>
      <c r="I20" s="11"/>
      <c r="J20" s="11"/>
      <c r="K20" s="11"/>
      <c r="L20" s="11"/>
      <c r="M20" s="54"/>
      <c r="N20" s="54">
        <v>12.734999999999999</v>
      </c>
      <c r="O20" s="11"/>
      <c r="P20" s="11"/>
      <c r="Q20" s="11"/>
      <c r="R20" s="11"/>
      <c r="S20" s="11"/>
      <c r="T20" s="11"/>
      <c r="U20" s="54"/>
      <c r="V20" s="54">
        <v>12.769</v>
      </c>
      <c r="W20" s="71" t="s">
        <v>141</v>
      </c>
      <c r="X20" s="54">
        <f>(V20-N20)+V20</f>
        <v>12.803000000000001</v>
      </c>
      <c r="Y20" s="54">
        <v>13.311</v>
      </c>
      <c r="Z20" s="54">
        <f>Y20</f>
        <v>13.311</v>
      </c>
      <c r="AA20" s="54">
        <f>(Y20-V20)/2+Y20</f>
        <v>13.582000000000001</v>
      </c>
      <c r="AB20" s="54">
        <f>(AA20-Y20)/2+AA20</f>
        <v>13.717500000000001</v>
      </c>
      <c r="AC20" s="54">
        <f t="shared" ref="AC20" si="9">(AB20-AA20)+AB20</f>
        <v>13.853000000000002</v>
      </c>
      <c r="AD20" s="99"/>
      <c r="AE20" s="99"/>
      <c r="AF20" s="99"/>
      <c r="AG20" s="100"/>
      <c r="AH20" s="100"/>
      <c r="AI20" s="100"/>
      <c r="AJ20" s="100"/>
      <c r="AK20" s="174" t="s">
        <v>280</v>
      </c>
      <c r="AL20" s="112"/>
      <c r="AM20" s="6"/>
    </row>
    <row r="21" spans="1:40" ht="48" hidden="1" customHeight="1" outlineLevel="1">
      <c r="A21" s="178" t="s">
        <v>187</v>
      </c>
      <c r="B21" s="9" t="s">
        <v>188</v>
      </c>
      <c r="C21" s="9" t="s">
        <v>19</v>
      </c>
      <c r="D21" s="66"/>
      <c r="E21" s="113"/>
      <c r="F21" s="64"/>
      <c r="G21" s="114">
        <v>2.665</v>
      </c>
      <c r="H21" s="115"/>
      <c r="I21" s="115"/>
      <c r="J21" s="115"/>
      <c r="K21" s="115"/>
      <c r="L21" s="115"/>
      <c r="M21" s="115"/>
      <c r="N21" s="116">
        <v>2.64</v>
      </c>
      <c r="O21" s="115"/>
      <c r="P21" s="115"/>
      <c r="Q21" s="115"/>
      <c r="R21" s="115"/>
      <c r="S21" s="115"/>
      <c r="T21" s="115"/>
      <c r="U21" s="115"/>
      <c r="V21" s="117">
        <f>N21+(V27-N27)/1000</f>
        <v>2.6920000000000002</v>
      </c>
      <c r="W21" s="71" t="s">
        <v>141</v>
      </c>
      <c r="X21" s="117">
        <f>V21+(X27-V27)/1000</f>
        <v>2.7120000000000002</v>
      </c>
      <c r="Y21" s="117">
        <f>V21+(Y27-V27)/1000</f>
        <v>2.589</v>
      </c>
      <c r="Z21" s="117">
        <f>Y21</f>
        <v>2.589</v>
      </c>
      <c r="AA21" s="117">
        <f>Y21+(AA27-Y27)/1000</f>
        <v>2.7319999999999998</v>
      </c>
      <c r="AB21" s="117">
        <f>AA21+(AB27-AA27)/1000</f>
        <v>2.7519999999999998</v>
      </c>
      <c r="AC21" s="117">
        <f>AB21+(AC27-AB27)/1000</f>
        <v>2.7719999999999998</v>
      </c>
      <c r="AD21" s="99"/>
      <c r="AE21" s="99"/>
      <c r="AF21" s="99"/>
      <c r="AG21" s="100"/>
      <c r="AH21" s="100"/>
      <c r="AI21" s="100"/>
      <c r="AJ21" s="100"/>
      <c r="AK21" s="174" t="s">
        <v>269</v>
      </c>
      <c r="AL21" s="112"/>
      <c r="AM21" s="6"/>
    </row>
    <row r="22" spans="1:40" ht="61.5" customHeight="1" collapsed="1">
      <c r="A22" s="178" t="s">
        <v>34</v>
      </c>
      <c r="B22" s="9" t="s">
        <v>268</v>
      </c>
      <c r="C22" s="9" t="s">
        <v>38</v>
      </c>
      <c r="D22" s="25">
        <v>49360.3</v>
      </c>
      <c r="E22" s="25">
        <v>57399.4</v>
      </c>
      <c r="F22" s="23">
        <v>62163.5</v>
      </c>
      <c r="G22" s="23">
        <v>62163.5</v>
      </c>
      <c r="H22" s="23" t="s">
        <v>128</v>
      </c>
      <c r="I22" s="23" t="s">
        <v>136</v>
      </c>
      <c r="J22" s="23">
        <v>65893.3</v>
      </c>
      <c r="K22" s="23">
        <v>67026.5</v>
      </c>
      <c r="L22" s="23">
        <v>66902.5</v>
      </c>
      <c r="M22" s="23">
        <v>66902.5</v>
      </c>
      <c r="N22" s="23">
        <v>66902.5</v>
      </c>
      <c r="O22" s="23" t="s">
        <v>155</v>
      </c>
      <c r="P22" s="13">
        <v>71048.100000000006</v>
      </c>
      <c r="Q22" s="13">
        <v>71048.100000000006</v>
      </c>
      <c r="R22" s="23">
        <v>72298</v>
      </c>
      <c r="S22" s="13">
        <v>71048.100000000006</v>
      </c>
      <c r="T22" s="13" t="s">
        <v>190</v>
      </c>
      <c r="U22" s="13">
        <v>71048.100000000006</v>
      </c>
      <c r="V22" s="13">
        <v>69776.5</v>
      </c>
      <c r="W22" s="71" t="s">
        <v>141</v>
      </c>
      <c r="X22" s="13">
        <f>V22*0.985</f>
        <v>68729.852499999994</v>
      </c>
      <c r="Y22" s="13" t="s">
        <v>306</v>
      </c>
      <c r="Z22" s="13">
        <f>V22/70044*72340.5</f>
        <v>72064.22960210724</v>
      </c>
      <c r="AA22" s="13">
        <f>V22</f>
        <v>69776.5</v>
      </c>
      <c r="AB22" s="13">
        <f>AA22*1</f>
        <v>69776.5</v>
      </c>
      <c r="AC22" s="13">
        <f>AB22</f>
        <v>69776.5</v>
      </c>
      <c r="AD22" s="99" t="e">
        <f>E23/D23</f>
        <v>#DIV/0!</v>
      </c>
      <c r="AE22" s="99" t="e">
        <f>F23/E23</f>
        <v>#DIV/0!</v>
      </c>
      <c r="AF22" s="99">
        <f t="shared" ref="AF22" si="10">K22/F22</f>
        <v>1.0782291859370852</v>
      </c>
      <c r="AG22" s="100">
        <f t="shared" ref="AG22" si="11">P22/K22</f>
        <v>1.0600001491947215</v>
      </c>
      <c r="AH22" s="100">
        <f>X22/P22</f>
        <v>0.96737073194075551</v>
      </c>
      <c r="AI22" s="100">
        <f>AA22/X22</f>
        <v>1.0152284263959392</v>
      </c>
      <c r="AJ22" s="100">
        <f t="shared" ref="AJ22" si="12">AB22/AA22</f>
        <v>1</v>
      </c>
      <c r="AK22" s="174" t="s">
        <v>281</v>
      </c>
    </row>
    <row r="23" spans="1:40">
      <c r="A23" s="178" t="s">
        <v>230</v>
      </c>
      <c r="B23" s="9" t="s">
        <v>231</v>
      </c>
      <c r="C23" s="9" t="s">
        <v>233</v>
      </c>
      <c r="D23" s="25"/>
      <c r="E23" s="25"/>
      <c r="F23" s="23"/>
      <c r="G23" s="23"/>
      <c r="H23" s="23"/>
      <c r="I23" s="23"/>
      <c r="J23" s="23"/>
      <c r="K23" s="23"/>
      <c r="L23" s="23"/>
      <c r="M23" s="23"/>
      <c r="N23" s="99">
        <v>1.2999999999999999E-2</v>
      </c>
      <c r="O23" s="23"/>
      <c r="P23" s="13"/>
      <c r="Q23" s="13"/>
      <c r="R23" s="23"/>
      <c r="S23" s="13"/>
      <c r="T23" s="13"/>
      <c r="U23" s="13"/>
      <c r="V23" s="162">
        <v>1.7000000000000001E-2</v>
      </c>
      <c r="W23" s="163">
        <v>2.5000000000000001E-2</v>
      </c>
      <c r="X23" s="13"/>
      <c r="Y23" s="162">
        <v>2.3E-2</v>
      </c>
      <c r="Z23" s="162">
        <v>2.3E-2</v>
      </c>
      <c r="AA23" s="162">
        <v>2.1999999999999999E-2</v>
      </c>
      <c r="AB23" s="162">
        <v>2.1000000000000001E-2</v>
      </c>
      <c r="AC23" s="162">
        <v>0.02</v>
      </c>
      <c r="AD23" s="99"/>
      <c r="AE23" s="99"/>
      <c r="AF23" s="99"/>
      <c r="AG23" s="100"/>
      <c r="AH23" s="100"/>
      <c r="AI23" s="100"/>
      <c r="AJ23" s="100"/>
      <c r="AK23" s="174" t="s">
        <v>282</v>
      </c>
      <c r="AM23" s="118"/>
    </row>
    <row r="24" spans="1:40">
      <c r="A24" s="178" t="s">
        <v>234</v>
      </c>
      <c r="B24" s="9" t="s">
        <v>235</v>
      </c>
      <c r="C24" s="9" t="s">
        <v>38</v>
      </c>
      <c r="D24" s="38"/>
      <c r="E24" s="38"/>
      <c r="F24" s="50"/>
      <c r="G24" s="50">
        <v>15517</v>
      </c>
      <c r="H24" s="50"/>
      <c r="I24" s="50"/>
      <c r="J24" s="23"/>
      <c r="K24" s="23"/>
      <c r="L24" s="23"/>
      <c r="M24" s="23"/>
      <c r="N24" s="185">
        <v>16593</v>
      </c>
      <c r="O24" s="185"/>
      <c r="P24" s="185"/>
      <c r="Q24" s="185"/>
      <c r="R24" s="185"/>
      <c r="S24" s="185"/>
      <c r="T24" s="185"/>
      <c r="U24" s="185"/>
      <c r="V24" s="186">
        <v>18711</v>
      </c>
      <c r="W24" s="185">
        <v>19493</v>
      </c>
      <c r="X24" s="185"/>
      <c r="Y24" s="185">
        <v>19460</v>
      </c>
      <c r="Z24" s="115">
        <v>19400</v>
      </c>
      <c r="AA24" s="169">
        <f>Z24*AA36/100</f>
        <v>20467</v>
      </c>
      <c r="AB24" s="169">
        <f t="shared" ref="AB24:AC24" si="13">AA24*AB36/100</f>
        <v>21449.416000000001</v>
      </c>
      <c r="AC24" s="169">
        <f t="shared" si="13"/>
        <v>22371.740888</v>
      </c>
      <c r="AD24" s="99"/>
      <c r="AE24" s="99"/>
      <c r="AF24" s="99"/>
      <c r="AG24" s="100"/>
      <c r="AH24" s="100"/>
      <c r="AI24" s="100"/>
      <c r="AJ24" s="100"/>
      <c r="AK24" s="89" t="s">
        <v>283</v>
      </c>
      <c r="AL24" s="6"/>
      <c r="AM24" s="6"/>
      <c r="AN24" s="6"/>
    </row>
    <row r="25" spans="1:40">
      <c r="A25" s="178" t="s">
        <v>52</v>
      </c>
      <c r="B25" s="107" t="s">
        <v>53</v>
      </c>
      <c r="C25" s="9"/>
      <c r="D25" s="60"/>
      <c r="E25" s="60"/>
      <c r="F25" s="93"/>
      <c r="G25" s="93"/>
      <c r="H25" s="93"/>
      <c r="I25" s="93"/>
      <c r="J25" s="93"/>
      <c r="K25" s="93"/>
      <c r="L25" s="93"/>
      <c r="M25" s="94"/>
      <c r="N25" s="94"/>
      <c r="O25" s="93"/>
      <c r="P25" s="93"/>
      <c r="Q25" s="93"/>
      <c r="R25" s="93"/>
      <c r="S25" s="93"/>
      <c r="T25" s="93"/>
      <c r="U25" s="93"/>
      <c r="V25" s="177"/>
      <c r="W25" s="93"/>
      <c r="X25" s="93"/>
      <c r="Y25" s="93"/>
      <c r="Z25" s="93"/>
      <c r="AA25" s="94"/>
      <c r="AB25" s="94"/>
      <c r="AC25" s="94"/>
      <c r="AD25" s="99"/>
      <c r="AE25" s="99"/>
      <c r="AF25" s="99"/>
      <c r="AG25" s="121"/>
      <c r="AH25" s="121"/>
      <c r="AI25" s="121"/>
      <c r="AJ25" s="121"/>
      <c r="AK25" s="108"/>
      <c r="AL25" s="6"/>
      <c r="AM25" s="6"/>
      <c r="AN25" s="6"/>
    </row>
    <row r="26" spans="1:40" ht="31.5" customHeight="1" outlineLevel="1">
      <c r="A26" s="180" t="s">
        <v>54</v>
      </c>
      <c r="B26" s="125" t="s">
        <v>194</v>
      </c>
      <c r="C26" s="126" t="s">
        <v>108</v>
      </c>
      <c r="D26" s="40">
        <f>229+608</f>
        <v>837</v>
      </c>
      <c r="E26" s="40">
        <f>222+715</f>
        <v>937</v>
      </c>
      <c r="F26" s="40">
        <v>1025</v>
      </c>
      <c r="G26" s="127">
        <f>359+644</f>
        <v>1003</v>
      </c>
      <c r="H26" s="128"/>
      <c r="I26" s="124" t="s">
        <v>141</v>
      </c>
      <c r="J26" s="128">
        <f>F26+25</f>
        <v>1050</v>
      </c>
      <c r="K26" s="128">
        <v>1308</v>
      </c>
      <c r="L26" s="128">
        <v>1308</v>
      </c>
      <c r="M26" s="128">
        <v>1308</v>
      </c>
      <c r="N26" s="128">
        <f>354+636</f>
        <v>990</v>
      </c>
      <c r="O26" s="71" t="s">
        <v>141</v>
      </c>
      <c r="P26" s="128">
        <v>1333</v>
      </c>
      <c r="Q26" s="128">
        <v>1333</v>
      </c>
      <c r="R26" s="71" t="s">
        <v>141</v>
      </c>
      <c r="S26" s="128">
        <v>1333</v>
      </c>
      <c r="T26" s="129" t="s">
        <v>141</v>
      </c>
      <c r="U26" s="128">
        <v>1345</v>
      </c>
      <c r="V26" s="128">
        <f>375+688</f>
        <v>1063</v>
      </c>
      <c r="W26" s="71" t="s">
        <v>141</v>
      </c>
      <c r="X26" s="128">
        <f>V26+30</f>
        <v>1093</v>
      </c>
      <c r="Y26" s="161">
        <f>Y27+Y28</f>
        <v>857</v>
      </c>
      <c r="Z26" s="161">
        <f>Z27+Z28</f>
        <v>1093</v>
      </c>
      <c r="AA26" s="128">
        <f>X26+28</f>
        <v>1121</v>
      </c>
      <c r="AB26" s="128">
        <f>AA26+25</f>
        <v>1146</v>
      </c>
      <c r="AC26" s="128">
        <f>AB26+25</f>
        <v>1171</v>
      </c>
      <c r="AD26" s="99"/>
      <c r="AE26" s="99"/>
      <c r="AF26" s="99">
        <f t="shared" ref="AF26:AF30" si="14">K26/F26</f>
        <v>1.2760975609756098</v>
      </c>
      <c r="AG26" s="100">
        <f t="shared" ref="AG26:AG30" si="15">P26/K26</f>
        <v>1.0191131498470949</v>
      </c>
      <c r="AH26" s="100">
        <f t="shared" ref="AH26:AH30" si="16">X26/P26</f>
        <v>0.81995498874718675</v>
      </c>
      <c r="AI26" s="100">
        <f>AA26/X26</f>
        <v>1.0256175663311986</v>
      </c>
      <c r="AJ26" s="100">
        <f t="shared" ref="AJ26:AJ30" si="17">AB26/AA26</f>
        <v>1.0223015165031222</v>
      </c>
      <c r="AK26" s="101" t="s">
        <v>285</v>
      </c>
      <c r="AL26" s="6"/>
      <c r="AM26" s="6"/>
      <c r="AN26" s="6"/>
    </row>
    <row r="27" spans="1:40" ht="15" customHeight="1" outlineLevel="1">
      <c r="A27" s="180"/>
      <c r="B27" s="159" t="s">
        <v>236</v>
      </c>
      <c r="C27" s="126" t="s">
        <v>108</v>
      </c>
      <c r="D27" s="40">
        <v>671</v>
      </c>
      <c r="E27" s="40">
        <v>697</v>
      </c>
      <c r="F27" s="40">
        <v>675</v>
      </c>
      <c r="G27" s="127">
        <v>644</v>
      </c>
      <c r="H27" s="128"/>
      <c r="I27" s="124" t="s">
        <v>141</v>
      </c>
      <c r="J27" s="128">
        <v>685</v>
      </c>
      <c r="K27" s="128">
        <v>850</v>
      </c>
      <c r="L27" s="128">
        <v>850</v>
      </c>
      <c r="M27" s="128">
        <v>850</v>
      </c>
      <c r="N27" s="128">
        <v>636</v>
      </c>
      <c r="O27" s="71" t="s">
        <v>141</v>
      </c>
      <c r="P27" s="128">
        <v>870</v>
      </c>
      <c r="Q27" s="128">
        <v>870</v>
      </c>
      <c r="R27" s="71" t="s">
        <v>141</v>
      </c>
      <c r="S27" s="128">
        <v>870</v>
      </c>
      <c r="T27" s="129" t="s">
        <v>141</v>
      </c>
      <c r="U27" s="128">
        <v>870</v>
      </c>
      <c r="V27" s="128">
        <v>688</v>
      </c>
      <c r="W27" s="71" t="s">
        <v>141</v>
      </c>
      <c r="X27" s="128">
        <f>V27+20</f>
        <v>708</v>
      </c>
      <c r="Y27" s="128">
        <v>585</v>
      </c>
      <c r="Z27" s="128">
        <f>X27</f>
        <v>708</v>
      </c>
      <c r="AA27" s="128">
        <f>X27+20</f>
        <v>728</v>
      </c>
      <c r="AB27" s="128">
        <f t="shared" ref="AB27:AC27" si="18">AA27+20</f>
        <v>748</v>
      </c>
      <c r="AC27" s="128">
        <f t="shared" si="18"/>
        <v>768</v>
      </c>
      <c r="AD27" s="99"/>
      <c r="AE27" s="99"/>
      <c r="AF27" s="99">
        <f t="shared" si="14"/>
        <v>1.2592592592592593</v>
      </c>
      <c r="AG27" s="100">
        <f t="shared" si="15"/>
        <v>1.0235294117647058</v>
      </c>
      <c r="AH27" s="100">
        <f t="shared" si="16"/>
        <v>0.81379310344827582</v>
      </c>
      <c r="AI27" s="100">
        <f>AA27/X27</f>
        <v>1.0282485875706215</v>
      </c>
      <c r="AJ27" s="100">
        <f t="shared" si="17"/>
        <v>1.0274725274725274</v>
      </c>
      <c r="AK27" s="101" t="s">
        <v>285</v>
      </c>
      <c r="AL27" s="6"/>
      <c r="AM27" s="6"/>
      <c r="AN27" s="6"/>
    </row>
    <row r="28" spans="1:40" ht="15" customHeight="1">
      <c r="A28" s="181"/>
      <c r="B28" s="159" t="s">
        <v>237</v>
      </c>
      <c r="C28" s="126" t="s">
        <v>108</v>
      </c>
      <c r="D28" s="10"/>
      <c r="E28" s="51"/>
      <c r="F28" s="51"/>
      <c r="G28" s="123"/>
      <c r="H28" s="51"/>
      <c r="I28" s="124"/>
      <c r="J28" s="51"/>
      <c r="K28" s="51"/>
      <c r="L28" s="51"/>
      <c r="M28" s="51"/>
      <c r="N28" s="51">
        <v>354</v>
      </c>
      <c r="O28" s="71"/>
      <c r="P28" s="51"/>
      <c r="Q28" s="51"/>
      <c r="R28" s="71"/>
      <c r="S28" s="51"/>
      <c r="T28" s="124"/>
      <c r="U28" s="51"/>
      <c r="V28" s="51">
        <v>375</v>
      </c>
      <c r="W28" s="71" t="s">
        <v>141</v>
      </c>
      <c r="X28" s="161">
        <f>V28+10</f>
        <v>385</v>
      </c>
      <c r="Y28" s="51">
        <v>272</v>
      </c>
      <c r="Z28" s="51">
        <f>X28</f>
        <v>385</v>
      </c>
      <c r="AA28" s="51">
        <f>AA26-AA27</f>
        <v>393</v>
      </c>
      <c r="AB28" s="51">
        <f t="shared" ref="AB28:AC28" si="19">AB26-AB27</f>
        <v>398</v>
      </c>
      <c r="AC28" s="51">
        <f t="shared" si="19"/>
        <v>403</v>
      </c>
      <c r="AD28" s="99"/>
      <c r="AE28" s="99"/>
      <c r="AF28" s="99"/>
      <c r="AG28" s="100"/>
      <c r="AH28" s="100"/>
      <c r="AI28" s="100"/>
      <c r="AJ28" s="100"/>
      <c r="AK28" s="101" t="s">
        <v>285</v>
      </c>
      <c r="AL28" s="6"/>
      <c r="AM28" s="6"/>
      <c r="AN28" s="6"/>
    </row>
    <row r="29" spans="1:40" ht="32.25" customHeight="1">
      <c r="A29" s="181" t="s">
        <v>59</v>
      </c>
      <c r="B29" s="125" t="s">
        <v>238</v>
      </c>
      <c r="C29" s="126" t="s">
        <v>108</v>
      </c>
      <c r="D29" s="41"/>
      <c r="E29" s="41"/>
      <c r="F29" s="41"/>
      <c r="G29" s="41"/>
      <c r="H29" s="42"/>
      <c r="I29" s="39"/>
      <c r="J29" s="41"/>
      <c r="K29" s="41"/>
      <c r="L29" s="41"/>
      <c r="M29" s="41"/>
      <c r="N29" s="115">
        <v>50</v>
      </c>
      <c r="O29" s="164"/>
      <c r="P29" s="115"/>
      <c r="Q29" s="115"/>
      <c r="R29" s="164"/>
      <c r="S29" s="115"/>
      <c r="T29" s="164"/>
      <c r="U29" s="115"/>
      <c r="V29" s="115">
        <v>60</v>
      </c>
      <c r="W29" s="71" t="s">
        <v>141</v>
      </c>
      <c r="X29" s="115">
        <v>58</v>
      </c>
      <c r="Y29" s="71" t="s">
        <v>308</v>
      </c>
      <c r="Z29" s="115">
        <f>V29/V27*Z27</f>
        <v>61.744186046511629</v>
      </c>
      <c r="AA29" s="115">
        <f>Z29/Z27*AA27</f>
        <v>63.488372093023258</v>
      </c>
      <c r="AB29" s="115">
        <f>AA29/AA27*AB27</f>
        <v>65.232558139534888</v>
      </c>
      <c r="AC29" s="115">
        <f>AB29/AB27*AC27</f>
        <v>66.976744186046517</v>
      </c>
      <c r="AD29" s="99"/>
      <c r="AE29" s="99"/>
      <c r="AF29" s="99"/>
      <c r="AG29" s="100"/>
      <c r="AH29" s="100"/>
      <c r="AI29" s="100"/>
      <c r="AJ29" s="100"/>
      <c r="AK29" s="101" t="s">
        <v>286</v>
      </c>
      <c r="AL29" s="6"/>
      <c r="AM29" s="6"/>
      <c r="AN29" s="6"/>
    </row>
    <row r="30" spans="1:40" ht="33" customHeight="1">
      <c r="A30" s="178" t="s">
        <v>61</v>
      </c>
      <c r="B30" s="9" t="s">
        <v>103</v>
      </c>
      <c r="C30" s="9" t="s">
        <v>31</v>
      </c>
      <c r="D30" s="28">
        <v>1379.9</v>
      </c>
      <c r="E30" s="28">
        <f>PRODUCT(D30*1.055)</f>
        <v>1455.7945</v>
      </c>
      <c r="F30" s="28">
        <f>PRODUCT(E30*1.062)</f>
        <v>1546.0537590000001</v>
      </c>
      <c r="G30" s="28">
        <f>PRODUCT(E30*1.062)</f>
        <v>1546.0537590000001</v>
      </c>
      <c r="H30" s="27" t="s">
        <v>117</v>
      </c>
      <c r="I30" s="39" t="s">
        <v>141</v>
      </c>
      <c r="J30" s="28">
        <f>PRODUCT(F30*1.068)</f>
        <v>1651.1854146120002</v>
      </c>
      <c r="K30" s="28">
        <f>F30*1.067</f>
        <v>1649.639360853</v>
      </c>
      <c r="L30" s="28">
        <f>F30*1.067</f>
        <v>1649.639360853</v>
      </c>
      <c r="M30" s="28">
        <f>F30*1.067</f>
        <v>1649.639360853</v>
      </c>
      <c r="N30" s="28">
        <f>G30*1.067</f>
        <v>1649.639360853</v>
      </c>
      <c r="O30" s="71" t="s">
        <v>141</v>
      </c>
      <c r="P30" s="28">
        <f>PRODUCT(K30*1.051)</f>
        <v>1733.7709682565028</v>
      </c>
      <c r="Q30" s="28">
        <f>K30*1.051</f>
        <v>1733.7709682565028</v>
      </c>
      <c r="R30" s="71" t="s">
        <v>141</v>
      </c>
      <c r="S30" s="28">
        <f>L30*1.051</f>
        <v>1733.7709682565028</v>
      </c>
      <c r="T30" s="124" t="s">
        <v>141</v>
      </c>
      <c r="U30" s="28">
        <f>M30*1.051</f>
        <v>1733.7709682565028</v>
      </c>
      <c r="V30" s="28">
        <f>N30*1.1535</f>
        <v>1902.8590027439354</v>
      </c>
      <c r="W30" s="71" t="s">
        <v>141</v>
      </c>
      <c r="X30" s="28">
        <f>V30*1.064</f>
        <v>2024.6419789195475</v>
      </c>
      <c r="Y30" s="71" t="s">
        <v>141</v>
      </c>
      <c r="Z30" s="28">
        <f>V30*Z36/100</f>
        <v>2045.5734279497306</v>
      </c>
      <c r="AA30" s="28">
        <f>Z30*AA36/100</f>
        <v>2158.0799664869655</v>
      </c>
      <c r="AB30" s="28">
        <f>AA30*AB36/100</f>
        <v>2261.6678048783397</v>
      </c>
      <c r="AC30" s="28">
        <f>AB30*AC36/100</f>
        <v>2358.919520488108</v>
      </c>
      <c r="AD30" s="99">
        <f t="shared" ref="AD30:AE30" si="20">E30/D30</f>
        <v>1.0549999999999999</v>
      </c>
      <c r="AE30" s="99">
        <f t="shared" si="20"/>
        <v>1.0620000000000001</v>
      </c>
      <c r="AF30" s="99">
        <f t="shared" si="14"/>
        <v>1.0669999999999999</v>
      </c>
      <c r="AG30" s="100">
        <f t="shared" si="15"/>
        <v>1.0509999999999999</v>
      </c>
      <c r="AH30" s="100">
        <f t="shared" si="16"/>
        <v>1.1677678401522362</v>
      </c>
      <c r="AI30" s="100">
        <f>AA30/X30</f>
        <v>1.0659069548872178</v>
      </c>
      <c r="AJ30" s="100">
        <f t="shared" si="17"/>
        <v>1.0479999999999998</v>
      </c>
      <c r="AK30" s="101" t="s">
        <v>287</v>
      </c>
      <c r="AL30" s="6"/>
      <c r="AM30" s="6"/>
      <c r="AN30" s="6"/>
    </row>
    <row r="31" spans="1:40" ht="17.25" hidden="1" customHeight="1" outlineLevel="1">
      <c r="A31" s="178"/>
      <c r="B31" s="9" t="s">
        <v>104</v>
      </c>
      <c r="C31" s="9" t="s">
        <v>31</v>
      </c>
      <c r="D31" s="28"/>
      <c r="E31" s="28"/>
      <c r="F31" s="28"/>
      <c r="G31" s="28"/>
      <c r="H31" s="28"/>
      <c r="I31" s="39" t="s">
        <v>141</v>
      </c>
      <c r="J31" s="28"/>
      <c r="K31" s="28"/>
      <c r="L31" s="28"/>
      <c r="M31" s="28"/>
      <c r="N31" s="28"/>
      <c r="O31" s="71" t="s">
        <v>141</v>
      </c>
      <c r="P31" s="28"/>
      <c r="Q31" s="28"/>
      <c r="R31" s="71" t="s">
        <v>141</v>
      </c>
      <c r="S31" s="28"/>
      <c r="T31" s="124" t="s">
        <v>141</v>
      </c>
      <c r="U31" s="28"/>
      <c r="V31" s="28"/>
      <c r="W31" s="28"/>
      <c r="X31" s="70"/>
      <c r="Y31" s="70"/>
      <c r="Z31" s="70"/>
      <c r="AA31" s="28"/>
      <c r="AB31" s="28"/>
      <c r="AC31" s="28"/>
      <c r="AD31" s="99"/>
      <c r="AE31" s="99"/>
      <c r="AF31" s="99"/>
      <c r="AG31" s="121"/>
      <c r="AH31" s="121"/>
      <c r="AI31" s="121"/>
      <c r="AJ31" s="121"/>
      <c r="AK31" s="108" t="s">
        <v>270</v>
      </c>
      <c r="AL31" s="6"/>
      <c r="AM31" s="6"/>
      <c r="AN31" s="6"/>
    </row>
    <row r="32" spans="1:40" ht="16.5" hidden="1" customHeight="1" outlineLevel="1">
      <c r="A32" s="178"/>
      <c r="B32" s="9" t="s">
        <v>105</v>
      </c>
      <c r="C32" s="9" t="s">
        <v>31</v>
      </c>
      <c r="D32" s="28"/>
      <c r="E32" s="28"/>
      <c r="F32" s="28"/>
      <c r="G32" s="28"/>
      <c r="H32" s="28"/>
      <c r="I32" s="39" t="s">
        <v>141</v>
      </c>
      <c r="J32" s="28"/>
      <c r="K32" s="28"/>
      <c r="L32" s="28"/>
      <c r="M32" s="28"/>
      <c r="N32" s="28"/>
      <c r="O32" s="71" t="s">
        <v>141</v>
      </c>
      <c r="P32" s="28"/>
      <c r="Q32" s="28"/>
      <c r="R32" s="71" t="s">
        <v>141</v>
      </c>
      <c r="S32" s="28"/>
      <c r="T32" s="124" t="s">
        <v>141</v>
      </c>
      <c r="U32" s="28"/>
      <c r="V32" s="28"/>
      <c r="W32" s="28"/>
      <c r="X32" s="28"/>
      <c r="Y32" s="28"/>
      <c r="Z32" s="28"/>
      <c r="AA32" s="28"/>
      <c r="AB32" s="28"/>
      <c r="AC32" s="28"/>
      <c r="AD32" s="99"/>
      <c r="AE32" s="99"/>
      <c r="AF32" s="99"/>
      <c r="AG32" s="121"/>
      <c r="AH32" s="121"/>
      <c r="AI32" s="121"/>
      <c r="AJ32" s="121"/>
      <c r="AK32" s="108" t="s">
        <v>270</v>
      </c>
      <c r="AL32" s="6"/>
      <c r="AM32" s="6"/>
      <c r="AN32" s="6"/>
    </row>
    <row r="33" spans="1:40" collapsed="1">
      <c r="A33" s="178" t="s">
        <v>62</v>
      </c>
      <c r="B33" s="107" t="s">
        <v>63</v>
      </c>
      <c r="C33" s="15"/>
      <c r="D33" s="55"/>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99"/>
      <c r="AE33" s="99"/>
      <c r="AF33" s="99"/>
      <c r="AG33" s="121"/>
      <c r="AH33" s="121"/>
      <c r="AI33" s="121"/>
      <c r="AJ33" s="121"/>
      <c r="AK33" s="101"/>
      <c r="AL33" s="6"/>
      <c r="AM33" s="6"/>
      <c r="AN33" s="6"/>
    </row>
    <row r="34" spans="1:40" ht="28.5" customHeight="1">
      <c r="A34" s="178" t="s">
        <v>64</v>
      </c>
      <c r="B34" s="9" t="s">
        <v>65</v>
      </c>
      <c r="C34" s="15" t="s">
        <v>66</v>
      </c>
      <c r="D34" s="23">
        <v>1613.5</v>
      </c>
      <c r="E34" s="23">
        <v>1791.7</v>
      </c>
      <c r="F34" s="43">
        <v>1921.3</v>
      </c>
      <c r="G34" s="43">
        <v>1921.3</v>
      </c>
      <c r="H34" s="43" t="s">
        <v>129</v>
      </c>
      <c r="I34" s="39" t="s">
        <v>141</v>
      </c>
      <c r="J34" s="43">
        <f>PRODUCT(F34*1.063)</f>
        <v>2042.3418999999999</v>
      </c>
      <c r="K34" s="28">
        <f>F34*1.067</f>
        <v>2050.0270999999998</v>
      </c>
      <c r="L34" s="69">
        <v>2293.6</v>
      </c>
      <c r="M34" s="69">
        <v>2293.6</v>
      </c>
      <c r="N34" s="69">
        <v>2293.6</v>
      </c>
      <c r="O34" s="71" t="s">
        <v>141</v>
      </c>
      <c r="P34" s="28">
        <f t="shared" ref="P34:P35" si="21">PRODUCT(K34*1.051)</f>
        <v>2154.5784820999997</v>
      </c>
      <c r="Q34" s="28">
        <f>L34*1.156</f>
        <v>2651.4015999999997</v>
      </c>
      <c r="R34" s="71" t="s">
        <v>141</v>
      </c>
      <c r="S34" s="28">
        <f>L34*1.156</f>
        <v>2651.4015999999997</v>
      </c>
      <c r="T34" s="124" t="s">
        <v>141</v>
      </c>
      <c r="U34" s="28">
        <f>M34*1.156</f>
        <v>2651.4015999999997</v>
      </c>
      <c r="V34" s="28">
        <v>2286.98</v>
      </c>
      <c r="W34" s="71" t="s">
        <v>141</v>
      </c>
      <c r="X34" s="28">
        <f>V34*1.064</f>
        <v>2433.34672</v>
      </c>
      <c r="Y34" s="71" t="s">
        <v>141</v>
      </c>
      <c r="Z34" s="28">
        <f>V34</f>
        <v>2286.98</v>
      </c>
      <c r="AA34" s="28">
        <f>Z34</f>
        <v>2286.98</v>
      </c>
      <c r="AB34" s="28">
        <f>AA34</f>
        <v>2286.98</v>
      </c>
      <c r="AC34" s="28">
        <f>AB34</f>
        <v>2286.98</v>
      </c>
      <c r="AD34" s="28">
        <f t="shared" ref="AD34:AJ34" si="22">AC34*1.052</f>
        <v>2405.9029600000003</v>
      </c>
      <c r="AE34" s="28">
        <f t="shared" si="22"/>
        <v>2531.0099139200006</v>
      </c>
      <c r="AF34" s="28">
        <f t="shared" si="22"/>
        <v>2662.6224294438407</v>
      </c>
      <c r="AG34" s="28">
        <f t="shared" si="22"/>
        <v>2801.0787957749208</v>
      </c>
      <c r="AH34" s="28">
        <f t="shared" si="22"/>
        <v>2946.7348931552169</v>
      </c>
      <c r="AI34" s="28">
        <f t="shared" si="22"/>
        <v>3099.9651075992883</v>
      </c>
      <c r="AJ34" s="28">
        <f t="shared" si="22"/>
        <v>3261.1632931944514</v>
      </c>
      <c r="AK34" s="101" t="s">
        <v>288</v>
      </c>
      <c r="AL34" s="6"/>
      <c r="AM34" s="6"/>
      <c r="AN34" s="6"/>
    </row>
    <row r="35" spans="1:40" ht="28.5" customHeight="1">
      <c r="A35" s="178" t="s">
        <v>67</v>
      </c>
      <c r="B35" s="9" t="s">
        <v>68</v>
      </c>
      <c r="C35" s="15" t="s">
        <v>66</v>
      </c>
      <c r="D35" s="11">
        <v>345.5</v>
      </c>
      <c r="E35" s="11">
        <v>379.61</v>
      </c>
      <c r="F35" s="11">
        <v>386.4</v>
      </c>
      <c r="G35" s="11">
        <v>386.4</v>
      </c>
      <c r="H35" s="11" t="s">
        <v>121</v>
      </c>
      <c r="I35" s="39" t="s">
        <v>141</v>
      </c>
      <c r="J35" s="11">
        <f>PRODUCT(F35*1.073)</f>
        <v>414.60719999999998</v>
      </c>
      <c r="K35" s="11">
        <v>376.7</v>
      </c>
      <c r="L35" s="11">
        <v>376.72680000000003</v>
      </c>
      <c r="M35" s="11">
        <v>376.72680000000003</v>
      </c>
      <c r="N35" s="11">
        <v>376.72680000000003</v>
      </c>
      <c r="O35" s="71" t="s">
        <v>141</v>
      </c>
      <c r="P35" s="28">
        <f t="shared" si="21"/>
        <v>395.91169999999994</v>
      </c>
      <c r="Q35" s="28">
        <f>L35*1.156</f>
        <v>435.49618079999999</v>
      </c>
      <c r="R35" s="71" t="s">
        <v>141</v>
      </c>
      <c r="S35" s="28">
        <f>L35*1.156</f>
        <v>435.49618079999999</v>
      </c>
      <c r="T35" s="124" t="s">
        <v>141</v>
      </c>
      <c r="U35" s="28">
        <f>M35*1.156</f>
        <v>435.49618079999999</v>
      </c>
      <c r="V35" s="28">
        <v>486.51119999999997</v>
      </c>
      <c r="W35" s="71" t="s">
        <v>141</v>
      </c>
      <c r="X35" s="28">
        <f>V35*1.064</f>
        <v>517.64791679999996</v>
      </c>
      <c r="Y35" s="71" t="s">
        <v>141</v>
      </c>
      <c r="Z35" s="28">
        <f>V35*Z36/100</f>
        <v>522.99954000000002</v>
      </c>
      <c r="AA35" s="28">
        <f>Z35*AA36/100</f>
        <v>551.76451469999995</v>
      </c>
      <c r="AB35" s="28">
        <f>AA35*AB36/100</f>
        <v>578.24921140559991</v>
      </c>
      <c r="AC35" s="28">
        <f>AB35*AC36/100</f>
        <v>603.11392749604067</v>
      </c>
      <c r="AD35" s="99">
        <f t="shared" ref="AD35:AE35" si="23">E35/D35</f>
        <v>1.098726483357453</v>
      </c>
      <c r="AE35" s="99">
        <f t="shared" si="23"/>
        <v>1.0178867785358656</v>
      </c>
      <c r="AF35" s="99">
        <f>K35/F35</f>
        <v>0.97489648033126297</v>
      </c>
      <c r="AG35" s="100">
        <f>P35/K35</f>
        <v>1.0509999999999999</v>
      </c>
      <c r="AH35" s="100">
        <f>X35/P35</f>
        <v>1.3074832514421777</v>
      </c>
      <c r="AI35" s="100">
        <f>AA35/X35</f>
        <v>1.065906954887218</v>
      </c>
      <c r="AJ35" s="100">
        <f t="shared" ref="AJ35" si="24">AB35/AA35</f>
        <v>1.0479999999999998</v>
      </c>
      <c r="AK35" s="101" t="s">
        <v>288</v>
      </c>
      <c r="AL35" s="6"/>
      <c r="AM35" s="6"/>
      <c r="AN35" s="6"/>
    </row>
    <row r="36" spans="1:40" ht="16.5" customHeight="1">
      <c r="A36" s="178" t="s">
        <v>69</v>
      </c>
      <c r="B36" s="9" t="s">
        <v>239</v>
      </c>
      <c r="C36" s="15" t="s">
        <v>233</v>
      </c>
      <c r="D36" s="11"/>
      <c r="E36" s="11"/>
      <c r="F36" s="11"/>
      <c r="G36" s="11"/>
      <c r="H36" s="11"/>
      <c r="I36" s="39"/>
      <c r="J36" s="11"/>
      <c r="K36" s="28"/>
      <c r="L36" s="28"/>
      <c r="M36" s="28"/>
      <c r="N36" s="28">
        <v>109.71</v>
      </c>
      <c r="O36" s="69"/>
      <c r="P36" s="28"/>
      <c r="Q36" s="28"/>
      <c r="R36" s="69"/>
      <c r="S36" s="28"/>
      <c r="T36" s="69"/>
      <c r="U36" s="28"/>
      <c r="V36" s="28">
        <v>115.35</v>
      </c>
      <c r="W36" s="71">
        <v>111.71</v>
      </c>
      <c r="X36" s="28"/>
      <c r="Y36" s="41" t="s">
        <v>307</v>
      </c>
      <c r="Z36" s="28">
        <v>107.5</v>
      </c>
      <c r="AA36" s="28">
        <v>105.5</v>
      </c>
      <c r="AB36" s="28">
        <v>104.8</v>
      </c>
      <c r="AC36" s="28">
        <v>104.3</v>
      </c>
      <c r="AD36" s="99"/>
      <c r="AE36" s="99"/>
      <c r="AF36" s="99"/>
      <c r="AG36" s="100"/>
      <c r="AH36" s="100"/>
      <c r="AI36" s="100"/>
      <c r="AJ36" s="100"/>
      <c r="AK36" s="101" t="s">
        <v>289</v>
      </c>
      <c r="AL36" s="6"/>
      <c r="AM36" s="6"/>
      <c r="AN36" s="6"/>
    </row>
    <row r="37" spans="1:40" ht="28.5">
      <c r="A37" s="178" t="s">
        <v>71</v>
      </c>
      <c r="B37" s="160" t="s">
        <v>240</v>
      </c>
      <c r="C37" s="15"/>
      <c r="D37" s="59"/>
      <c r="E37" s="61"/>
      <c r="F37" s="130"/>
      <c r="G37" s="130"/>
      <c r="H37" s="130"/>
      <c r="I37" s="130"/>
      <c r="J37" s="130"/>
      <c r="K37" s="130"/>
      <c r="L37" s="130"/>
      <c r="M37" s="130"/>
      <c r="N37" s="130"/>
      <c r="O37" s="130"/>
      <c r="P37" s="130"/>
      <c r="Q37" s="130"/>
      <c r="R37" s="130"/>
      <c r="S37" s="130"/>
      <c r="T37" s="130"/>
      <c r="U37" s="28"/>
      <c r="V37" s="28"/>
      <c r="W37" s="28"/>
      <c r="X37" s="70"/>
      <c r="Y37" s="70"/>
      <c r="Z37" s="70"/>
      <c r="AA37" s="130"/>
      <c r="AB37" s="130"/>
      <c r="AC37" s="130"/>
      <c r="AD37" s="99"/>
      <c r="AE37" s="99"/>
      <c r="AF37" s="99"/>
      <c r="AG37" s="100"/>
      <c r="AH37" s="121"/>
      <c r="AI37" s="121"/>
      <c r="AJ37" s="121"/>
      <c r="AK37" s="108"/>
      <c r="AL37" s="6"/>
      <c r="AM37" s="6"/>
      <c r="AN37" s="6"/>
    </row>
    <row r="38" spans="1:40" ht="17.25" customHeight="1">
      <c r="A38" s="178" t="s">
        <v>73</v>
      </c>
      <c r="B38" s="9" t="s">
        <v>241</v>
      </c>
      <c r="C38" s="15" t="s">
        <v>108</v>
      </c>
      <c r="D38" s="29"/>
      <c r="E38" s="29"/>
      <c r="F38" s="51"/>
      <c r="G38" s="51"/>
      <c r="H38" s="51"/>
      <c r="I38" s="51"/>
      <c r="J38" s="51"/>
      <c r="K38" s="51"/>
      <c r="L38" s="51"/>
      <c r="M38" s="51"/>
      <c r="N38" s="51">
        <v>425</v>
      </c>
      <c r="O38" s="71"/>
      <c r="P38" s="51"/>
      <c r="Q38" s="51"/>
      <c r="R38" s="71"/>
      <c r="S38" s="51"/>
      <c r="T38" s="71"/>
      <c r="U38" s="51"/>
      <c r="V38" s="131">
        <v>416</v>
      </c>
      <c r="W38" s="71" t="s">
        <v>141</v>
      </c>
      <c r="X38" s="71" t="s">
        <v>141</v>
      </c>
      <c r="Y38" s="51">
        <v>404</v>
      </c>
      <c r="Z38" s="51">
        <f>Y38+2</f>
        <v>406</v>
      </c>
      <c r="AA38" s="51">
        <f>Z38-8+4</f>
        <v>402</v>
      </c>
      <c r="AB38" s="51">
        <f>AA38-8+4</f>
        <v>398</v>
      </c>
      <c r="AC38" s="51">
        <f>AB38-8+2</f>
        <v>392</v>
      </c>
      <c r="AD38" s="99"/>
      <c r="AE38" s="99"/>
      <c r="AF38" s="99"/>
      <c r="AG38" s="100"/>
      <c r="AH38" s="100"/>
      <c r="AI38" s="100"/>
      <c r="AJ38" s="100"/>
      <c r="AK38" s="89" t="s">
        <v>301</v>
      </c>
      <c r="AL38" s="6" t="s">
        <v>265</v>
      </c>
      <c r="AM38" s="6"/>
      <c r="AN38" s="6"/>
    </row>
    <row r="39" spans="1:40" ht="30.75" customHeight="1">
      <c r="A39" s="178" t="s">
        <v>76</v>
      </c>
      <c r="B39" s="125" t="s">
        <v>303</v>
      </c>
      <c r="C39" s="15" t="s">
        <v>243</v>
      </c>
      <c r="D39" s="29"/>
      <c r="E39" s="29"/>
      <c r="F39" s="51"/>
      <c r="G39" s="54">
        <v>528.9</v>
      </c>
      <c r="H39" s="51"/>
      <c r="I39" s="51"/>
      <c r="J39" s="51"/>
      <c r="K39" s="51"/>
      <c r="L39" s="51"/>
      <c r="M39" s="51"/>
      <c r="N39" s="11">
        <v>560.05100000000004</v>
      </c>
      <c r="O39" s="11"/>
      <c r="P39" s="11"/>
      <c r="Q39" s="11"/>
      <c r="R39" s="11"/>
      <c r="S39" s="11"/>
      <c r="T39" s="11"/>
      <c r="U39" s="11"/>
      <c r="V39" s="11">
        <v>577.19749999999999</v>
      </c>
      <c r="W39" s="71" t="s">
        <v>141</v>
      </c>
      <c r="X39" s="71" t="s">
        <v>141</v>
      </c>
      <c r="Y39" s="11">
        <f>490.02+112.5326</f>
        <v>602.55259999999998</v>
      </c>
      <c r="Z39" s="11">
        <f>Y39+Z41-Y41</f>
        <v>615.41460000000006</v>
      </c>
      <c r="AA39" s="11">
        <f>Z39+AA41-2</f>
        <v>628.71460000000002</v>
      </c>
      <c r="AB39" s="11">
        <f>AA39+AB41-2</f>
        <v>652.1146</v>
      </c>
      <c r="AC39" s="11">
        <f>AB39+AC41-2</f>
        <v>670.6146</v>
      </c>
      <c r="AD39" s="99"/>
      <c r="AE39" s="99"/>
      <c r="AF39" s="99"/>
      <c r="AG39" s="100"/>
      <c r="AH39" s="100"/>
      <c r="AI39" s="100"/>
      <c r="AJ39" s="100"/>
      <c r="AK39" s="89" t="s">
        <v>302</v>
      </c>
      <c r="AL39" s="6" t="s">
        <v>266</v>
      </c>
      <c r="AM39" s="6"/>
      <c r="AN39" s="6"/>
    </row>
    <row r="40" spans="1:40" ht="32.25" customHeight="1">
      <c r="A40" s="178" t="s">
        <v>257</v>
      </c>
      <c r="B40" s="9" t="s">
        <v>242</v>
      </c>
      <c r="C40" s="15" t="s">
        <v>243</v>
      </c>
      <c r="D40" s="29"/>
      <c r="E40" s="29"/>
      <c r="F40" s="51"/>
      <c r="G40" s="51"/>
      <c r="H40" s="51"/>
      <c r="I40" s="51"/>
      <c r="J40" s="51"/>
      <c r="K40" s="51"/>
      <c r="L40" s="51"/>
      <c r="M40" s="51"/>
      <c r="N40" s="11">
        <v>74.8</v>
      </c>
      <c r="O40" s="11"/>
      <c r="P40" s="11"/>
      <c r="Q40" s="11"/>
      <c r="R40" s="11"/>
      <c r="S40" s="11"/>
      <c r="T40" s="11"/>
      <c r="U40" s="11"/>
      <c r="V40" s="11">
        <v>76.477999999999994</v>
      </c>
      <c r="W40" s="71" t="s">
        <v>141</v>
      </c>
      <c r="X40" s="71" t="s">
        <v>141</v>
      </c>
      <c r="Y40" s="11">
        <v>83</v>
      </c>
      <c r="Z40" s="11">
        <v>83</v>
      </c>
      <c r="AA40" s="11">
        <f>Z40+5</f>
        <v>88</v>
      </c>
      <c r="AB40" s="11">
        <f>AA40</f>
        <v>88</v>
      </c>
      <c r="AC40" s="11">
        <f>AB40</f>
        <v>88</v>
      </c>
      <c r="AD40" s="99"/>
      <c r="AE40" s="99"/>
      <c r="AF40" s="99"/>
      <c r="AG40" s="100"/>
      <c r="AH40" s="100"/>
      <c r="AI40" s="100"/>
      <c r="AJ40" s="100"/>
      <c r="AK40" s="89" t="s">
        <v>290</v>
      </c>
      <c r="AL40" s="6"/>
      <c r="AM40" s="6"/>
      <c r="AN40" s="6"/>
    </row>
    <row r="41" spans="1:40" ht="17.25" customHeight="1">
      <c r="A41" s="178" t="s">
        <v>78</v>
      </c>
      <c r="B41" s="9" t="s">
        <v>244</v>
      </c>
      <c r="C41" s="15" t="s">
        <v>243</v>
      </c>
      <c r="D41" s="33"/>
      <c r="E41" s="29"/>
      <c r="F41" s="51"/>
      <c r="G41" s="51"/>
      <c r="H41" s="51"/>
      <c r="I41" s="51"/>
      <c r="J41" s="51"/>
      <c r="K41" s="51"/>
      <c r="L41" s="51"/>
      <c r="M41" s="51"/>
      <c r="N41" s="11">
        <f>(24425+21873)/1000</f>
        <v>46.298000000000002</v>
      </c>
      <c r="O41" s="11"/>
      <c r="P41" s="11"/>
      <c r="Q41" s="11"/>
      <c r="R41" s="11"/>
      <c r="S41" s="11"/>
      <c r="T41" s="11"/>
      <c r="U41" s="11"/>
      <c r="V41" s="11">
        <f>(5147+6259)/1000</f>
        <v>11.406000000000001</v>
      </c>
      <c r="W41" s="55" t="s">
        <v>141</v>
      </c>
      <c r="X41" s="55" t="s">
        <v>141</v>
      </c>
      <c r="Y41" s="55">
        <v>1.3380000000000001</v>
      </c>
      <c r="Z41" s="55">
        <f>1.4+6.8+6</f>
        <v>14.2</v>
      </c>
      <c r="AA41" s="11">
        <f>9.3+6</f>
        <v>15.3</v>
      </c>
      <c r="AB41" s="11">
        <f>19.4+6</f>
        <v>25.4</v>
      </c>
      <c r="AC41" s="11">
        <f>14.5+6</f>
        <v>20.5</v>
      </c>
      <c r="AD41" s="99"/>
      <c r="AE41" s="99"/>
      <c r="AF41" s="99"/>
      <c r="AG41" s="100"/>
      <c r="AH41" s="100"/>
      <c r="AI41" s="100"/>
      <c r="AJ41" s="100"/>
      <c r="AK41" s="89" t="s">
        <v>291</v>
      </c>
      <c r="AL41" s="6"/>
      <c r="AM41" s="6"/>
      <c r="AN41" s="6"/>
    </row>
    <row r="42" spans="1:40" ht="60" customHeight="1">
      <c r="A42" s="178" t="s">
        <v>80</v>
      </c>
      <c r="B42" s="9" t="s">
        <v>245</v>
      </c>
      <c r="C42" s="15" t="s">
        <v>275</v>
      </c>
      <c r="D42" s="29"/>
      <c r="E42" s="29"/>
      <c r="F42" s="51"/>
      <c r="G42" s="51"/>
      <c r="H42" s="51"/>
      <c r="I42" s="51"/>
      <c r="J42" s="51"/>
      <c r="K42" s="51"/>
      <c r="L42" s="51"/>
      <c r="M42" s="51"/>
      <c r="N42" s="167">
        <v>152</v>
      </c>
      <c r="O42" s="51"/>
      <c r="P42" s="133"/>
      <c r="Q42" s="51"/>
      <c r="R42" s="51"/>
      <c r="S42" s="51"/>
      <c r="T42" s="51"/>
      <c r="U42" s="51"/>
      <c r="V42" s="167">
        <v>162</v>
      </c>
      <c r="W42" s="71" t="s">
        <v>141</v>
      </c>
      <c r="X42" s="71" t="s">
        <v>141</v>
      </c>
      <c r="Y42" s="124">
        <v>59</v>
      </c>
      <c r="Z42" s="175">
        <f>Y42+10</f>
        <v>69</v>
      </c>
      <c r="AA42" s="51">
        <v>20</v>
      </c>
      <c r="AB42" s="51">
        <v>70</v>
      </c>
      <c r="AC42" s="51">
        <v>70</v>
      </c>
      <c r="AD42" s="99"/>
      <c r="AE42" s="99"/>
      <c r="AF42" s="99"/>
      <c r="AG42" s="100"/>
      <c r="AH42" s="100"/>
      <c r="AI42" s="100"/>
      <c r="AJ42" s="100"/>
      <c r="AK42" s="168" t="s">
        <v>292</v>
      </c>
      <c r="AL42" s="6" t="s">
        <v>274</v>
      </c>
      <c r="AM42" s="6"/>
      <c r="AN42" s="6"/>
    </row>
    <row r="43" spans="1:40" ht="32.25" customHeight="1">
      <c r="A43" s="178" t="s">
        <v>82</v>
      </c>
      <c r="B43" s="9" t="s">
        <v>247</v>
      </c>
      <c r="C43" s="15" t="s">
        <v>275</v>
      </c>
      <c r="D43" s="29"/>
      <c r="E43" s="29"/>
      <c r="F43" s="51"/>
      <c r="G43" s="51"/>
      <c r="H43" s="51"/>
      <c r="I43" s="51"/>
      <c r="J43" s="51"/>
      <c r="K43" s="51"/>
      <c r="L43" s="51"/>
      <c r="M43" s="51"/>
      <c r="N43" s="128">
        <v>1793</v>
      </c>
      <c r="O43" s="51"/>
      <c r="P43" s="133"/>
      <c r="Q43" s="51"/>
      <c r="R43" s="51"/>
      <c r="S43" s="51"/>
      <c r="T43" s="51"/>
      <c r="U43" s="51"/>
      <c r="V43" s="128">
        <v>1583</v>
      </c>
      <c r="W43" s="71" t="s">
        <v>141</v>
      </c>
      <c r="X43" s="71" t="s">
        <v>141</v>
      </c>
      <c r="Y43" s="124">
        <f>V43+59-212</f>
        <v>1430</v>
      </c>
      <c r="Z43" s="161">
        <f>Y43+10-70</f>
        <v>1370</v>
      </c>
      <c r="AA43" s="51">
        <f>Z43-200+80</f>
        <v>1250</v>
      </c>
      <c r="AB43" s="51">
        <f>AA43-150+80</f>
        <v>1180</v>
      </c>
      <c r="AC43" s="51">
        <f>AB43-150+80</f>
        <v>1110</v>
      </c>
      <c r="AD43" s="99"/>
      <c r="AE43" s="99"/>
      <c r="AF43" s="99"/>
      <c r="AG43" s="100"/>
      <c r="AH43" s="100"/>
      <c r="AI43" s="100"/>
      <c r="AJ43" s="100"/>
      <c r="AK43" s="89" t="s">
        <v>293</v>
      </c>
      <c r="AL43" s="6" t="s">
        <v>274</v>
      </c>
      <c r="AM43" s="6"/>
      <c r="AN43" s="6"/>
    </row>
    <row r="44" spans="1:40" ht="30" customHeight="1">
      <c r="A44" s="178" t="s">
        <v>246</v>
      </c>
      <c r="B44" s="9" t="s">
        <v>92</v>
      </c>
      <c r="C44" s="15" t="s">
        <v>93</v>
      </c>
      <c r="D44" s="29"/>
      <c r="E44" s="29"/>
      <c r="F44" s="51"/>
      <c r="G44" s="51"/>
      <c r="H44" s="51"/>
      <c r="I44" s="51"/>
      <c r="J44" s="51"/>
      <c r="K44" s="51"/>
      <c r="L44" s="51"/>
      <c r="M44" s="51"/>
      <c r="N44" s="11">
        <v>23.4</v>
      </c>
      <c r="O44" s="11">
        <f t="shared" ref="O44:AC44" si="25">O39/O10</f>
        <v>0</v>
      </c>
      <c r="P44" s="11">
        <f t="shared" si="25"/>
        <v>0</v>
      </c>
      <c r="Q44" s="11">
        <f t="shared" si="25"/>
        <v>0</v>
      </c>
      <c r="R44" s="11">
        <f t="shared" si="25"/>
        <v>0</v>
      </c>
      <c r="S44" s="11">
        <f t="shared" si="25"/>
        <v>0</v>
      </c>
      <c r="T44" s="11">
        <f t="shared" si="25"/>
        <v>0</v>
      </c>
      <c r="U44" s="11">
        <f t="shared" si="25"/>
        <v>0</v>
      </c>
      <c r="V44" s="11">
        <f t="shared" si="25"/>
        <v>23.814725419812685</v>
      </c>
      <c r="W44" s="71" t="s">
        <v>141</v>
      </c>
      <c r="X44" s="71" t="s">
        <v>141</v>
      </c>
      <c r="Y44" s="11">
        <f t="shared" si="25"/>
        <v>24.290599048617267</v>
      </c>
      <c r="Z44" s="11">
        <f t="shared" si="25"/>
        <v>24.809102636458924</v>
      </c>
      <c r="AA44" s="11">
        <f t="shared" si="25"/>
        <v>24.804300311673966</v>
      </c>
      <c r="AB44" s="11">
        <f t="shared" si="25"/>
        <v>25.189840852904819</v>
      </c>
      <c r="AC44" s="11">
        <f t="shared" si="25"/>
        <v>25.579379791738187</v>
      </c>
      <c r="AD44" s="99"/>
      <c r="AE44" s="99"/>
      <c r="AF44" s="99"/>
      <c r="AG44" s="100"/>
      <c r="AH44" s="100"/>
      <c r="AI44" s="100"/>
      <c r="AJ44" s="100"/>
      <c r="AK44" s="89" t="s">
        <v>294</v>
      </c>
      <c r="AL44" s="6"/>
      <c r="AM44" s="6"/>
      <c r="AN44" s="6"/>
    </row>
    <row r="45" spans="1:40">
      <c r="A45" s="182" t="s">
        <v>84</v>
      </c>
      <c r="B45" s="107" t="s">
        <v>248</v>
      </c>
      <c r="C45" s="15"/>
      <c r="D45" s="29"/>
      <c r="E45" s="29"/>
      <c r="F45" s="51"/>
      <c r="G45" s="51"/>
      <c r="H45" s="51"/>
      <c r="I45" s="51"/>
      <c r="J45" s="51"/>
      <c r="K45" s="51"/>
      <c r="L45" s="51"/>
      <c r="M45" s="51"/>
      <c r="N45" s="51"/>
      <c r="O45" s="51"/>
      <c r="P45" s="133"/>
      <c r="Q45" s="51"/>
      <c r="R45" s="51"/>
      <c r="S45" s="51"/>
      <c r="T45" s="51"/>
      <c r="U45" s="51"/>
      <c r="V45" s="51"/>
      <c r="W45" s="51"/>
      <c r="X45" s="124"/>
      <c r="Y45" s="124"/>
      <c r="Z45" s="124"/>
      <c r="AA45" s="51"/>
      <c r="AB45" s="51"/>
      <c r="AC45" s="51"/>
      <c r="AD45" s="99"/>
      <c r="AE45" s="99"/>
      <c r="AF45" s="99"/>
      <c r="AG45" s="100"/>
      <c r="AH45" s="100"/>
      <c r="AI45" s="100"/>
      <c r="AJ45" s="100"/>
      <c r="AK45" s="89"/>
      <c r="AL45" s="6"/>
      <c r="AM45" s="6"/>
      <c r="AN45" s="6"/>
    </row>
    <row r="46" spans="1:40" ht="15" customHeight="1">
      <c r="A46" s="178" t="s">
        <v>86</v>
      </c>
      <c r="B46" s="9" t="s">
        <v>249</v>
      </c>
      <c r="C46" s="15" t="s">
        <v>256</v>
      </c>
      <c r="D46" s="29"/>
      <c r="E46" s="29"/>
      <c r="F46" s="51"/>
      <c r="G46" s="51"/>
      <c r="H46" s="51"/>
      <c r="I46" s="51"/>
      <c r="J46" s="51"/>
      <c r="K46" s="51"/>
      <c r="L46" s="51"/>
      <c r="M46" s="51"/>
      <c r="N46" s="170">
        <f>N47+N48</f>
        <v>3040724.8</v>
      </c>
      <c r="O46" s="170">
        <f t="shared" ref="O46:AC46" si="26">O47+O48</f>
        <v>0</v>
      </c>
      <c r="P46" s="170">
        <f t="shared" si="26"/>
        <v>0</v>
      </c>
      <c r="Q46" s="170">
        <f t="shared" si="26"/>
        <v>0</v>
      </c>
      <c r="R46" s="170">
        <f t="shared" si="26"/>
        <v>0</v>
      </c>
      <c r="S46" s="170">
        <f t="shared" si="26"/>
        <v>0</v>
      </c>
      <c r="T46" s="170">
        <f t="shared" si="26"/>
        <v>0</v>
      </c>
      <c r="U46" s="170">
        <f t="shared" si="26"/>
        <v>0</v>
      </c>
      <c r="V46" s="170">
        <f t="shared" si="26"/>
        <v>2561620</v>
      </c>
      <c r="W46" s="71" t="s">
        <v>141</v>
      </c>
      <c r="X46" s="71" t="s">
        <v>141</v>
      </c>
      <c r="Y46" s="170">
        <f t="shared" si="26"/>
        <v>478169.5</v>
      </c>
      <c r="Z46" s="170">
        <f t="shared" si="26"/>
        <v>668022.5</v>
      </c>
      <c r="AA46" s="170">
        <f t="shared" si="26"/>
        <v>708635.8</v>
      </c>
      <c r="AB46" s="170">
        <f t="shared" si="26"/>
        <v>715260.8</v>
      </c>
      <c r="AC46" s="170">
        <f t="shared" si="26"/>
        <v>722555.8</v>
      </c>
      <c r="AD46" s="99"/>
      <c r="AE46" s="99"/>
      <c r="AF46" s="99"/>
      <c r="AG46" s="100"/>
      <c r="AH46" s="100"/>
      <c r="AI46" s="100"/>
      <c r="AJ46" s="100"/>
      <c r="AK46" s="201" t="s">
        <v>295</v>
      </c>
      <c r="AL46" s="6" t="s">
        <v>273</v>
      </c>
      <c r="AM46" s="6"/>
      <c r="AN46" s="6"/>
    </row>
    <row r="47" spans="1:40" ht="30.75" customHeight="1">
      <c r="A47" s="178"/>
      <c r="B47" s="9" t="s">
        <v>250</v>
      </c>
      <c r="C47" s="15" t="s">
        <v>256</v>
      </c>
      <c r="D47" s="29"/>
      <c r="E47" s="29"/>
      <c r="F47" s="51"/>
      <c r="G47" s="51"/>
      <c r="H47" s="51"/>
      <c r="I47" s="51"/>
      <c r="J47" s="51"/>
      <c r="K47" s="51"/>
      <c r="L47" s="51"/>
      <c r="M47" s="51"/>
      <c r="N47" s="170">
        <v>638507.30000000005</v>
      </c>
      <c r="O47" s="172"/>
      <c r="P47" s="172"/>
      <c r="Q47" s="172"/>
      <c r="R47" s="172"/>
      <c r="S47" s="172"/>
      <c r="T47" s="172"/>
      <c r="U47" s="172"/>
      <c r="V47" s="170">
        <v>667658</v>
      </c>
      <c r="W47" s="71" t="s">
        <v>141</v>
      </c>
      <c r="X47" s="71" t="s">
        <v>141</v>
      </c>
      <c r="Y47" s="171">
        <v>457550.5</v>
      </c>
      <c r="Z47" s="170">
        <v>628545</v>
      </c>
      <c r="AA47" s="170">
        <v>626864</v>
      </c>
      <c r="AB47" s="170">
        <v>633834</v>
      </c>
      <c r="AC47" s="172">
        <v>641684</v>
      </c>
      <c r="AD47" s="99"/>
      <c r="AE47" s="99"/>
      <c r="AF47" s="99"/>
      <c r="AG47" s="100"/>
      <c r="AH47" s="100"/>
      <c r="AI47" s="100"/>
      <c r="AJ47" s="100"/>
      <c r="AK47" s="202"/>
      <c r="AL47" s="6" t="s">
        <v>273</v>
      </c>
      <c r="AM47" s="6"/>
      <c r="AN47" s="6"/>
    </row>
    <row r="48" spans="1:40" ht="15.75" customHeight="1">
      <c r="A48" s="178"/>
      <c r="B48" s="9" t="s">
        <v>251</v>
      </c>
      <c r="C48" s="15" t="s">
        <v>256</v>
      </c>
      <c r="D48" s="29"/>
      <c r="E48" s="29"/>
      <c r="F48" s="51"/>
      <c r="G48" s="51"/>
      <c r="H48" s="51"/>
      <c r="I48" s="51"/>
      <c r="J48" s="51"/>
      <c r="K48" s="51"/>
      <c r="L48" s="51"/>
      <c r="M48" s="51"/>
      <c r="N48" s="172">
        <v>2402217.5</v>
      </c>
      <c r="O48" s="172"/>
      <c r="P48" s="172"/>
      <c r="Q48" s="172"/>
      <c r="R48" s="172"/>
      <c r="S48" s="172"/>
      <c r="T48" s="172"/>
      <c r="U48" s="172"/>
      <c r="V48" s="172">
        <v>1893962</v>
      </c>
      <c r="W48" s="71" t="s">
        <v>141</v>
      </c>
      <c r="X48" s="71" t="s">
        <v>141</v>
      </c>
      <c r="Y48" s="171">
        <v>20619</v>
      </c>
      <c r="Z48" s="171">
        <f>Y48+(23000-4577)+(1310.9-1075.4)+200</f>
        <v>39477.5</v>
      </c>
      <c r="AA48" s="172">
        <v>81771.8</v>
      </c>
      <c r="AB48" s="172">
        <v>81426.8</v>
      </c>
      <c r="AC48" s="172">
        <v>80871.8</v>
      </c>
      <c r="AD48" s="99"/>
      <c r="AE48" s="99"/>
      <c r="AF48" s="99"/>
      <c r="AG48" s="100"/>
      <c r="AH48" s="100"/>
      <c r="AI48" s="100"/>
      <c r="AJ48" s="100"/>
      <c r="AK48" s="203"/>
      <c r="AL48" s="6" t="s">
        <v>273</v>
      </c>
      <c r="AM48" s="6"/>
      <c r="AN48" s="6"/>
    </row>
    <row r="49" spans="1:40" ht="46.5" customHeight="1">
      <c r="A49" s="178" t="s">
        <v>89</v>
      </c>
      <c r="B49" s="9" t="s">
        <v>252</v>
      </c>
      <c r="C49" s="15" t="s">
        <v>256</v>
      </c>
      <c r="D49" s="29"/>
      <c r="E49" s="29"/>
      <c r="F49" s="51"/>
      <c r="G49" s="51"/>
      <c r="H49" s="51"/>
      <c r="I49" s="51"/>
      <c r="J49" s="51"/>
      <c r="K49" s="51"/>
      <c r="L49" s="51"/>
      <c r="M49" s="51"/>
      <c r="N49" s="172">
        <f t="shared" ref="N49:V49" si="27">N50/N10/1000</f>
        <v>7.9050354532009299</v>
      </c>
      <c r="O49" s="172">
        <f t="shared" si="27"/>
        <v>0</v>
      </c>
      <c r="P49" s="172">
        <f t="shared" si="27"/>
        <v>0</v>
      </c>
      <c r="Q49" s="172">
        <f t="shared" si="27"/>
        <v>0</v>
      </c>
      <c r="R49" s="172">
        <f t="shared" si="27"/>
        <v>0</v>
      </c>
      <c r="S49" s="172">
        <f t="shared" si="27"/>
        <v>0</v>
      </c>
      <c r="T49" s="172">
        <f t="shared" si="27"/>
        <v>0</v>
      </c>
      <c r="U49" s="172">
        <f t="shared" si="27"/>
        <v>0</v>
      </c>
      <c r="V49" s="172">
        <f t="shared" si="27"/>
        <v>7.9670300367207174</v>
      </c>
      <c r="W49" s="69" t="s">
        <v>141</v>
      </c>
      <c r="X49" s="69" t="s">
        <v>141</v>
      </c>
      <c r="Y49" s="172">
        <f>Y50/Y10/1000</f>
        <v>5.4761360961057806</v>
      </c>
      <c r="Z49" s="172">
        <f>Z50/Z10/1000</f>
        <v>7.7686156575022167</v>
      </c>
      <c r="AA49" s="172">
        <f>AA50/AA10/1000</f>
        <v>7.482277981615181</v>
      </c>
      <c r="AB49" s="172">
        <f>AB50/AB10/1000</f>
        <v>7.1377626699629166</v>
      </c>
      <c r="AC49" s="172">
        <f>AC50/AC10/1000</f>
        <v>7.0481901056566345</v>
      </c>
      <c r="AD49" s="99"/>
      <c r="AE49" s="99"/>
      <c r="AF49" s="99"/>
      <c r="AG49" s="100"/>
      <c r="AH49" s="100"/>
      <c r="AI49" s="100"/>
      <c r="AJ49" s="100"/>
      <c r="AK49" s="201" t="s">
        <v>296</v>
      </c>
      <c r="AL49" s="6" t="s">
        <v>273</v>
      </c>
      <c r="AM49" s="6"/>
      <c r="AN49" s="6"/>
    </row>
    <row r="50" spans="1:40" ht="33" hidden="1" customHeight="1" outlineLevel="1">
      <c r="A50" s="178" t="s">
        <v>253</v>
      </c>
      <c r="B50" s="9" t="s">
        <v>254</v>
      </c>
      <c r="C50" s="15" t="s">
        <v>256</v>
      </c>
      <c r="D50" s="29"/>
      <c r="E50" s="29"/>
      <c r="F50" s="51"/>
      <c r="G50" s="51"/>
      <c r="H50" s="51"/>
      <c r="I50" s="51"/>
      <c r="J50" s="51"/>
      <c r="K50" s="51"/>
      <c r="L50" s="51"/>
      <c r="M50" s="51"/>
      <c r="N50" s="120">
        <v>187072.66399999999</v>
      </c>
      <c r="O50" s="172"/>
      <c r="P50" s="172"/>
      <c r="Q50" s="172"/>
      <c r="R50" s="172"/>
      <c r="S50" s="172"/>
      <c r="T50" s="172"/>
      <c r="U50" s="172"/>
      <c r="V50" s="120">
        <v>193096.90700000001</v>
      </c>
      <c r="W50" s="71" t="s">
        <v>141</v>
      </c>
      <c r="X50" s="71" t="s">
        <v>141</v>
      </c>
      <c r="Y50" s="171">
        <v>135841.03200000001</v>
      </c>
      <c r="Z50" s="120">
        <v>192708.28</v>
      </c>
      <c r="AA50" s="120">
        <v>189653.3</v>
      </c>
      <c r="AB50" s="120">
        <v>184782.4</v>
      </c>
      <c r="AC50" s="172">
        <v>184782.4</v>
      </c>
      <c r="AD50" s="99"/>
      <c r="AE50" s="99"/>
      <c r="AF50" s="99"/>
      <c r="AG50" s="100"/>
      <c r="AH50" s="100"/>
      <c r="AI50" s="100"/>
      <c r="AJ50" s="100"/>
      <c r="AK50" s="203"/>
      <c r="AL50" s="6" t="s">
        <v>273</v>
      </c>
      <c r="AM50" s="6"/>
      <c r="AN50" s="6"/>
    </row>
    <row r="51" spans="1:40" collapsed="1">
      <c r="A51" s="178" t="s">
        <v>255</v>
      </c>
      <c r="B51" s="107" t="s">
        <v>85</v>
      </c>
      <c r="C51" s="15"/>
      <c r="D51" s="57"/>
      <c r="E51" s="58"/>
      <c r="F51" s="94"/>
      <c r="G51" s="94"/>
      <c r="H51" s="94"/>
      <c r="I51" s="94"/>
      <c r="J51" s="94"/>
      <c r="K51" s="94"/>
      <c r="L51" s="94"/>
      <c r="M51" s="94"/>
      <c r="N51" s="94"/>
      <c r="O51" s="94"/>
      <c r="P51" s="94"/>
      <c r="Q51" s="94"/>
      <c r="R51" s="94"/>
      <c r="S51" s="94"/>
      <c r="T51" s="94"/>
      <c r="U51" s="94"/>
      <c r="V51" s="94"/>
      <c r="W51" s="94"/>
      <c r="X51" s="94"/>
      <c r="Y51" s="94"/>
      <c r="Z51" s="94"/>
      <c r="AA51" s="94"/>
      <c r="AB51" s="94"/>
      <c r="AC51" s="94"/>
      <c r="AD51" s="99"/>
      <c r="AE51" s="99"/>
      <c r="AF51" s="99"/>
      <c r="AG51" s="121"/>
      <c r="AH51" s="121"/>
      <c r="AI51" s="121"/>
      <c r="AJ51" s="121"/>
      <c r="AK51" s="108"/>
      <c r="AL51" s="6"/>
      <c r="AM51" s="6"/>
      <c r="AN51" s="6"/>
    </row>
    <row r="52" spans="1:40" ht="15.75" customHeight="1">
      <c r="A52" s="178" t="s">
        <v>261</v>
      </c>
      <c r="B52" s="9" t="s">
        <v>87</v>
      </c>
      <c r="C52" s="15" t="s">
        <v>88</v>
      </c>
      <c r="D52" s="26">
        <f>42.6572*100</f>
        <v>4265.72</v>
      </c>
      <c r="E52" s="26">
        <f>42.6572*100</f>
        <v>4265.72</v>
      </c>
      <c r="F52" s="23">
        <f t="shared" ref="F52:J52" si="28">42.6572*100</f>
        <v>4265.72</v>
      </c>
      <c r="G52" s="23">
        <f t="shared" si="28"/>
        <v>4265.72</v>
      </c>
      <c r="H52" s="23">
        <v>4265.7</v>
      </c>
      <c r="I52" s="23">
        <v>4265.7</v>
      </c>
      <c r="J52" s="23">
        <f t="shared" si="28"/>
        <v>4265.72</v>
      </c>
      <c r="K52" s="23">
        <v>4498</v>
      </c>
      <c r="L52" s="23">
        <v>4498</v>
      </c>
      <c r="M52" s="23">
        <v>4498</v>
      </c>
      <c r="N52" s="120">
        <v>4497.6454999999996</v>
      </c>
      <c r="O52" s="120">
        <v>4498</v>
      </c>
      <c r="P52" s="120">
        <f>K52</f>
        <v>4498</v>
      </c>
      <c r="Q52" s="120">
        <v>4498</v>
      </c>
      <c r="R52" s="120">
        <v>4498</v>
      </c>
      <c r="S52" s="120">
        <v>4498</v>
      </c>
      <c r="T52" s="120">
        <v>4498</v>
      </c>
      <c r="U52" s="120">
        <v>4498</v>
      </c>
      <c r="V52" s="120">
        <v>4497.6454999999996</v>
      </c>
      <c r="W52" s="120">
        <f>4497.6455+15.1842</f>
        <v>4512.8296999999993</v>
      </c>
      <c r="X52" s="120">
        <f>4497.6455+15.1842</f>
        <v>4512.8296999999993</v>
      </c>
      <c r="Y52" s="120">
        <f t="shared" ref="Y52:Z52" si="29">4497.6455+15.1842</f>
        <v>4512.8296999999993</v>
      </c>
      <c r="Z52" s="120">
        <f t="shared" si="29"/>
        <v>4512.8296999999993</v>
      </c>
      <c r="AA52" s="120">
        <f>X52</f>
        <v>4512.8296999999993</v>
      </c>
      <c r="AB52" s="120">
        <f>AA52</f>
        <v>4512.8296999999993</v>
      </c>
      <c r="AC52" s="120">
        <f>AB52</f>
        <v>4512.8296999999993</v>
      </c>
      <c r="AD52" s="99">
        <f t="shared" ref="AD52:AE52" si="30">E52/D52</f>
        <v>1</v>
      </c>
      <c r="AE52" s="99">
        <f t="shared" si="30"/>
        <v>1</v>
      </c>
      <c r="AF52" s="99">
        <f>K52/F52</f>
        <v>1.0544527066942977</v>
      </c>
      <c r="AG52" s="100">
        <f>P52/K52</f>
        <v>1</v>
      </c>
      <c r="AH52" s="100">
        <f>X52/P52</f>
        <v>1.0032969542018673</v>
      </c>
      <c r="AI52" s="100">
        <f>AA52/X52</f>
        <v>1</v>
      </c>
      <c r="AJ52" s="100">
        <f t="shared" ref="AJ52" si="31">AB52/AA52</f>
        <v>1</v>
      </c>
      <c r="AK52" s="101" t="s">
        <v>297</v>
      </c>
      <c r="AL52" s="6" t="s">
        <v>271</v>
      </c>
      <c r="AM52" s="6"/>
      <c r="AN52" s="6"/>
    </row>
    <row r="53" spans="1:40" ht="33" customHeight="1">
      <c r="A53" s="178" t="s">
        <v>262</v>
      </c>
      <c r="B53" s="9" t="s">
        <v>90</v>
      </c>
      <c r="C53" s="15" t="s">
        <v>142</v>
      </c>
      <c r="D53" s="53">
        <f>2.809</f>
        <v>2.8090000000000002</v>
      </c>
      <c r="E53" s="53">
        <f>2.967</f>
        <v>2.9670000000000001</v>
      </c>
      <c r="F53" s="54">
        <v>3.1904034800000001</v>
      </c>
      <c r="G53" s="54">
        <v>3.1904034800000001</v>
      </c>
      <c r="H53" s="54" t="s">
        <v>140</v>
      </c>
      <c r="I53" s="54" t="s">
        <v>143</v>
      </c>
      <c r="J53" s="53">
        <f>F53*1.05</f>
        <v>3.3499236540000004</v>
      </c>
      <c r="K53" s="53">
        <v>3.5475530000000002</v>
      </c>
      <c r="L53" s="53">
        <v>3.5475530000000002</v>
      </c>
      <c r="M53" s="53">
        <v>3.5475530000000002</v>
      </c>
      <c r="N53" s="165">
        <v>3.5475530000000002</v>
      </c>
      <c r="O53" s="165">
        <f>L53+0.031653</f>
        <v>3.5792060000000001</v>
      </c>
      <c r="P53" s="165">
        <v>3.65</v>
      </c>
      <c r="Q53" s="165">
        <v>3.65</v>
      </c>
      <c r="R53" s="165">
        <v>3.7288709999999998</v>
      </c>
      <c r="S53" s="165">
        <f>R53</f>
        <v>3.7288709999999998</v>
      </c>
      <c r="T53" s="165" t="s">
        <v>206</v>
      </c>
      <c r="U53" s="165">
        <v>3.7288709999999998</v>
      </c>
      <c r="V53" s="166">
        <f>0.827737+2.877744</f>
        <v>3.7054809999999998</v>
      </c>
      <c r="W53" s="55" t="s">
        <v>141</v>
      </c>
      <c r="X53" s="166">
        <f>0.869124+2.964076</f>
        <v>3.8331999999999997</v>
      </c>
      <c r="Y53" s="55" t="s">
        <v>141</v>
      </c>
      <c r="Z53" s="166">
        <f>0.869124+2.964076</f>
        <v>3.8331999999999997</v>
      </c>
      <c r="AA53" s="166">
        <f>0.895197+3.052998</f>
        <v>3.9481950000000001</v>
      </c>
      <c r="AB53" s="166">
        <v>4.04</v>
      </c>
      <c r="AC53" s="11">
        <v>4.1100000000000003</v>
      </c>
      <c r="AD53" s="99">
        <f t="shared" ref="AD53" si="32">E53/D53</f>
        <v>1.0562477750088999</v>
      </c>
      <c r="AE53" s="99">
        <f t="shared" ref="AE53" si="33">F53/E53</f>
        <v>1.0752960835861138</v>
      </c>
      <c r="AF53" s="99">
        <f>K53/F53</f>
        <v>1.1119449380741022</v>
      </c>
      <c r="AG53" s="100">
        <f>S53/K53</f>
        <v>1.0511107233634001</v>
      </c>
      <c r="AH53" s="100">
        <f>X53/P53</f>
        <v>1.0501917808219177</v>
      </c>
      <c r="AI53" s="100">
        <f>AA53/X53</f>
        <v>1.0299997391213609</v>
      </c>
      <c r="AJ53" s="100">
        <f t="shared" ref="AJ53" si="34">AB53/AA53</f>
        <v>1.0232523976146062</v>
      </c>
      <c r="AK53" s="132" t="s">
        <v>298</v>
      </c>
      <c r="AL53" s="6" t="s">
        <v>276</v>
      </c>
      <c r="AM53" s="6"/>
      <c r="AN53" s="6"/>
    </row>
    <row r="54" spans="1:40" ht="30.75" customHeight="1">
      <c r="A54" s="178" t="s">
        <v>263</v>
      </c>
      <c r="B54" s="9" t="s">
        <v>258</v>
      </c>
      <c r="C54" s="15" t="s">
        <v>259</v>
      </c>
      <c r="D54" s="53"/>
      <c r="E54" s="53"/>
      <c r="F54" s="54"/>
      <c r="G54" s="54"/>
      <c r="H54" s="54"/>
      <c r="I54" s="54"/>
      <c r="J54" s="53"/>
      <c r="K54" s="53"/>
      <c r="L54" s="53"/>
      <c r="M54" s="53"/>
      <c r="N54" s="165">
        <v>43.8</v>
      </c>
      <c r="O54" s="53"/>
      <c r="P54" s="53"/>
      <c r="Q54" s="53"/>
      <c r="R54" s="53"/>
      <c r="S54" s="53"/>
      <c r="T54" s="53"/>
      <c r="U54" s="53"/>
      <c r="V54" s="166">
        <f>N54-5.4-0.6</f>
        <v>37.799999999999997</v>
      </c>
      <c r="W54" s="55">
        <f>V54</f>
        <v>37.799999999999997</v>
      </c>
      <c r="X54" s="116"/>
      <c r="Y54" s="184">
        <v>43.1</v>
      </c>
      <c r="Z54" s="166">
        <v>44.482999999999997</v>
      </c>
      <c r="AA54" s="166">
        <f t="shared" ref="AA54:AC55" si="35">Z54</f>
        <v>44.482999999999997</v>
      </c>
      <c r="AB54" s="166">
        <f t="shared" si="35"/>
        <v>44.482999999999997</v>
      </c>
      <c r="AC54" s="11">
        <f t="shared" si="35"/>
        <v>44.482999999999997</v>
      </c>
      <c r="AD54" s="99"/>
      <c r="AE54" s="99"/>
      <c r="AF54" s="99"/>
      <c r="AG54" s="100"/>
      <c r="AH54" s="100"/>
      <c r="AI54" s="100"/>
      <c r="AJ54" s="100"/>
      <c r="AK54" s="132" t="s">
        <v>299</v>
      </c>
      <c r="AL54" s="6" t="s">
        <v>272</v>
      </c>
      <c r="AM54" s="6"/>
      <c r="AN54" s="6"/>
    </row>
    <row r="55" spans="1:40" ht="47.25" customHeight="1">
      <c r="A55" s="178" t="s">
        <v>264</v>
      </c>
      <c r="B55" s="9" t="s">
        <v>260</v>
      </c>
      <c r="C55" s="15" t="s">
        <v>259</v>
      </c>
      <c r="D55" s="53"/>
      <c r="E55" s="53"/>
      <c r="F55" s="54"/>
      <c r="G55" s="54"/>
      <c r="H55" s="54"/>
      <c r="I55" s="54"/>
      <c r="J55" s="53"/>
      <c r="K55" s="53"/>
      <c r="L55" s="53"/>
      <c r="M55" s="53"/>
      <c r="N55" s="166">
        <v>4.7</v>
      </c>
      <c r="O55" s="53"/>
      <c r="P55" s="53"/>
      <c r="Q55" s="53"/>
      <c r="R55" s="53"/>
      <c r="S55" s="53"/>
      <c r="T55" s="53"/>
      <c r="U55" s="53"/>
      <c r="V55" s="166">
        <v>3.6</v>
      </c>
      <c r="W55" s="55">
        <f>V55</f>
        <v>3.6</v>
      </c>
      <c r="X55" s="116"/>
      <c r="Y55" s="120">
        <v>3.6</v>
      </c>
      <c r="Z55" s="166">
        <v>6.8</v>
      </c>
      <c r="AA55" s="166">
        <f t="shared" si="35"/>
        <v>6.8</v>
      </c>
      <c r="AB55" s="166">
        <f t="shared" si="35"/>
        <v>6.8</v>
      </c>
      <c r="AC55" s="11">
        <f t="shared" si="35"/>
        <v>6.8</v>
      </c>
      <c r="AD55" s="99"/>
      <c r="AE55" s="99"/>
      <c r="AF55" s="99"/>
      <c r="AG55" s="100"/>
      <c r="AH55" s="100"/>
      <c r="AI55" s="100"/>
      <c r="AJ55" s="100"/>
      <c r="AK55" s="89" t="s">
        <v>300</v>
      </c>
      <c r="AL55" s="6" t="s">
        <v>272</v>
      </c>
      <c r="AM55" s="6"/>
      <c r="AN55" s="6"/>
    </row>
    <row r="56" spans="1:40">
      <c r="A56" s="19"/>
      <c r="B56" s="183" t="s">
        <v>309</v>
      </c>
      <c r="C56" s="137"/>
      <c r="D56" s="34"/>
      <c r="E56" s="35"/>
      <c r="F56" s="30"/>
      <c r="G56" s="30"/>
      <c r="H56" s="30"/>
      <c r="I56" s="30"/>
      <c r="J56" s="35"/>
      <c r="K56" s="35"/>
      <c r="L56" s="35"/>
      <c r="M56" s="35"/>
      <c r="N56" s="35"/>
      <c r="O56" s="35"/>
      <c r="P56" s="35"/>
      <c r="Q56" s="35"/>
      <c r="R56" s="35"/>
      <c r="S56" s="35"/>
      <c r="T56" s="35"/>
      <c r="U56" s="35"/>
      <c r="V56" s="35"/>
      <c r="W56" s="35"/>
      <c r="X56" s="35"/>
      <c r="Y56" s="35"/>
      <c r="Z56" s="35"/>
      <c r="AA56" s="35"/>
      <c r="AB56" s="35"/>
      <c r="AC56" s="35"/>
      <c r="AD56" s="138"/>
      <c r="AE56" s="138"/>
      <c r="AF56" s="139"/>
      <c r="AG56" s="140"/>
      <c r="AH56" s="140"/>
      <c r="AI56" s="140"/>
      <c r="AJ56" s="140"/>
      <c r="AK56" s="141"/>
      <c r="AL56" s="6"/>
      <c r="AM56" s="6"/>
      <c r="AN56" s="6"/>
    </row>
    <row r="57" spans="1:40">
      <c r="A57" s="19"/>
      <c r="B57" s="136" t="s">
        <v>310</v>
      </c>
      <c r="C57" s="137"/>
      <c r="D57" s="34"/>
      <c r="E57" s="35"/>
      <c r="F57" s="30"/>
      <c r="G57" s="30"/>
      <c r="H57" s="30"/>
      <c r="I57" s="30"/>
      <c r="J57" s="35"/>
      <c r="K57" s="35"/>
      <c r="L57" s="35"/>
      <c r="M57" s="35"/>
      <c r="N57" s="35"/>
      <c r="O57" s="35"/>
      <c r="P57" s="35"/>
      <c r="Q57" s="35"/>
      <c r="R57" s="35"/>
      <c r="S57" s="35"/>
      <c r="T57" s="35"/>
      <c r="U57" s="35"/>
      <c r="V57" s="35"/>
      <c r="W57" s="35"/>
      <c r="X57" s="35"/>
      <c r="Y57" s="35"/>
      <c r="Z57" s="35"/>
      <c r="AA57" s="35"/>
      <c r="AB57" s="35"/>
      <c r="AC57" s="35"/>
      <c r="AD57" s="138"/>
      <c r="AE57" s="138"/>
      <c r="AF57" s="139"/>
      <c r="AG57" s="140"/>
      <c r="AH57" s="140"/>
      <c r="AI57" s="140"/>
      <c r="AJ57" s="140"/>
      <c r="AK57" s="141"/>
      <c r="AL57" s="6"/>
      <c r="AM57" s="6"/>
      <c r="AN57" s="6"/>
    </row>
    <row r="58" spans="1:40">
      <c r="A58" s="187" t="s">
        <v>106</v>
      </c>
      <c r="B58" s="188"/>
      <c r="C58" s="19"/>
      <c r="D58" s="36"/>
      <c r="AF58" s="139"/>
      <c r="AG58" s="140"/>
      <c r="AH58" s="140"/>
      <c r="AI58" s="140"/>
      <c r="AJ58" s="140"/>
      <c r="AK58" s="141"/>
      <c r="AL58" s="6"/>
      <c r="AM58" s="6"/>
      <c r="AN58" s="6"/>
    </row>
    <row r="59" spans="1:40" hidden="1">
      <c r="A59" s="14" t="s">
        <v>94</v>
      </c>
      <c r="B59" s="78"/>
      <c r="AD59" s="142"/>
      <c r="AE59" s="142"/>
      <c r="AF59" s="142"/>
      <c r="AG59" s="142"/>
      <c r="AH59" s="142"/>
      <c r="AI59" s="142"/>
      <c r="AJ59" s="142"/>
    </row>
    <row r="60" spans="1:40" ht="30" hidden="1">
      <c r="B60" s="143" t="s">
        <v>95</v>
      </c>
    </row>
    <row r="61" spans="1:40" hidden="1">
      <c r="B61" s="144" t="s">
        <v>96</v>
      </c>
    </row>
    <row r="62" spans="1:40" ht="30" hidden="1">
      <c r="B62" s="145" t="s">
        <v>97</v>
      </c>
    </row>
    <row r="63" spans="1:40" ht="30" hidden="1">
      <c r="B63" s="146" t="s">
        <v>98</v>
      </c>
    </row>
    <row r="64" spans="1:40" ht="28.5" hidden="1" customHeight="1">
      <c r="B64" s="7" t="s">
        <v>99</v>
      </c>
    </row>
    <row r="65" spans="1:76" s="2" customFormat="1">
      <c r="A65" s="14"/>
      <c r="B65" s="8"/>
      <c r="C65" s="147"/>
      <c r="D65" s="31"/>
      <c r="E65" s="31"/>
      <c r="F65" s="52"/>
      <c r="G65" s="52"/>
      <c r="H65" s="52"/>
      <c r="I65" s="52"/>
      <c r="J65" s="52"/>
      <c r="K65" s="52"/>
      <c r="L65" s="52"/>
      <c r="M65" s="52"/>
      <c r="N65" s="52"/>
      <c r="O65" s="52"/>
      <c r="P65" s="44"/>
      <c r="Q65" s="44"/>
      <c r="R65" s="52"/>
      <c r="S65" s="44"/>
      <c r="T65" s="44"/>
      <c r="U65" s="44"/>
      <c r="V65" s="44"/>
      <c r="W65" s="44"/>
      <c r="X65" s="44"/>
      <c r="Y65" s="44"/>
      <c r="Z65" s="44"/>
      <c r="AA65" s="44"/>
      <c r="AB65" s="44"/>
      <c r="AC65" s="44"/>
      <c r="AD65" s="78"/>
      <c r="AE65" s="78"/>
      <c r="AF65" s="78"/>
      <c r="AG65" s="78"/>
      <c r="AH65" s="78"/>
      <c r="AI65" s="78"/>
      <c r="AJ65" s="78"/>
      <c r="AK65" s="81"/>
      <c r="AL65" s="4"/>
      <c r="AM65" s="4"/>
      <c r="AN65" s="4"/>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row>
  </sheetData>
  <mergeCells count="10">
    <mergeCell ref="A1:AC1"/>
    <mergeCell ref="A3:Y3"/>
    <mergeCell ref="AK46:AK48"/>
    <mergeCell ref="AK49:AK50"/>
    <mergeCell ref="A58:B58"/>
    <mergeCell ref="P4:X4"/>
    <mergeCell ref="A5:A7"/>
    <mergeCell ref="B5:B7"/>
    <mergeCell ref="C5:C7"/>
    <mergeCell ref="AA5:AC5"/>
  </mergeCells>
  <printOptions horizontalCentered="1"/>
  <pageMargins left="0.39370078740157483" right="0.39370078740157483" top="0.59055118110236227" bottom="0.19685039370078741" header="0.23622047244094491" footer="0.23622047244094491"/>
  <pageSetup paperSize="9"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прогноз на 2017-2019 за 2015</vt:lpstr>
      <vt:lpstr>прогноз2017-2019 на01.08.-НЕ УТ</vt:lpstr>
      <vt:lpstr>прогноз на 2017-2019 - 30.10.</vt:lpstr>
      <vt:lpstr>'прогноз на 2017-2019 - 30.10.'!Заголовки_для_печати</vt:lpstr>
      <vt:lpstr>'прогноз на 2017-2019 за 2015'!Заголовки_для_печати</vt:lpstr>
      <vt:lpstr>'прогноз2017-2019 на01.08.-НЕ УТ'!Заголовки_для_печати</vt:lpstr>
      <vt:lpstr>'прогноз на 2017-2019 - 30.10.'!Область_печати</vt:lpstr>
      <vt:lpstr>'прогноз на 2017-2019 за 2015'!Область_печати</vt:lpstr>
      <vt:lpstr>'прогноз2017-2019 на01.08.-НЕ УТ'!Область_печати</vt:lpstr>
    </vt:vector>
  </TitlesOfParts>
  <Company>Adm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Ekonom7</dc:creator>
  <cp:lastModifiedBy>Ekonom7</cp:lastModifiedBy>
  <cp:lastPrinted>2016-11-01T08:24:27Z</cp:lastPrinted>
  <dcterms:created xsi:type="dcterms:W3CDTF">2014-05-19T10:52:36Z</dcterms:created>
  <dcterms:modified xsi:type="dcterms:W3CDTF">2017-03-10T08:39:34Z</dcterms:modified>
</cp:coreProperties>
</file>