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240" yWindow="45" windowWidth="24780" windowHeight="12405"/>
  </bookViews>
  <sheets>
    <sheet name="прогноз на 2015-2017 за 9мес 14" sheetId="3" r:id="rId1"/>
  </sheets>
  <definedNames>
    <definedName name="_xlnm.Print_Titles" localSheetId="0">'прогноз на 2015-2017 за 9мес 14'!$3:$4</definedName>
    <definedName name="_xlnm.Print_Area" localSheetId="0">'прогноз на 2015-2017 за 9мес 14'!$A$1:$M$48</definedName>
  </definedNames>
  <calcPr calcId="125725"/>
</workbook>
</file>

<file path=xl/calcChain.xml><?xml version="1.0" encoding="utf-8"?>
<calcChain xmlns="http://schemas.openxmlformats.org/spreadsheetml/2006/main">
  <c r="F44" i="3"/>
  <c r="E44"/>
  <c r="D44"/>
  <c r="L25" l="1"/>
  <c r="K25"/>
  <c r="J25"/>
  <c r="I24"/>
  <c r="J24" s="1"/>
  <c r="K24" s="1"/>
  <c r="L24" s="1"/>
  <c r="I8"/>
  <c r="L16"/>
  <c r="L18"/>
  <c r="J19"/>
  <c r="I7"/>
  <c r="H6"/>
  <c r="I44"/>
  <c r="J44" s="1"/>
  <c r="K44" s="1"/>
  <c r="L44" s="1"/>
  <c r="G8"/>
  <c r="G7"/>
  <c r="I20"/>
  <c r="I6" l="1"/>
  <c r="J8"/>
  <c r="K8" s="1"/>
  <c r="L8" s="1"/>
  <c r="L42"/>
  <c r="K42"/>
  <c r="J42"/>
  <c r="I42"/>
  <c r="F42"/>
  <c r="E42"/>
  <c r="D42"/>
  <c r="F34"/>
  <c r="I33"/>
  <c r="I32"/>
  <c r="E28"/>
  <c r="E27"/>
  <c r="I26"/>
  <c r="F26"/>
  <c r="E26"/>
  <c r="D26"/>
  <c r="E24"/>
  <c r="D24"/>
  <c r="D23" s="1"/>
  <c r="F23"/>
  <c r="E23"/>
  <c r="J21"/>
  <c r="J20"/>
  <c r="K19"/>
  <c r="L19" s="1"/>
  <c r="J17"/>
  <c r="L15"/>
  <c r="J14"/>
  <c r="K14" s="1"/>
  <c r="L14" s="1"/>
  <c r="L12"/>
  <c r="I11"/>
  <c r="F9"/>
  <c r="F8"/>
  <c r="F7"/>
  <c r="K17" l="1"/>
  <c r="L17" s="1"/>
  <c r="I23"/>
  <c r="J7"/>
  <c r="J6" s="1"/>
  <c r="J23" s="1"/>
  <c r="I9"/>
  <c r="J11"/>
  <c r="K20"/>
  <c r="L20" s="1"/>
  <c r="K21"/>
  <c r="L21" s="1"/>
  <c r="F27"/>
  <c r="F28"/>
  <c r="J32"/>
  <c r="J33"/>
  <c r="I34"/>
  <c r="J26" l="1"/>
  <c r="J34"/>
  <c r="K32"/>
  <c r="L32" s="1"/>
  <c r="I27"/>
  <c r="K33"/>
  <c r="L33" s="1"/>
  <c r="I28"/>
  <c r="K11"/>
  <c r="L11" s="1"/>
  <c r="K7"/>
  <c r="L7" s="1"/>
  <c r="K6" l="1"/>
  <c r="J28"/>
  <c r="J27"/>
  <c r="K34"/>
  <c r="L34" s="1"/>
  <c r="K26" l="1"/>
  <c r="L6"/>
  <c r="K23"/>
  <c r="K27"/>
  <c r="L27" s="1"/>
  <c r="K28"/>
  <c r="L28" s="1"/>
  <c r="L26" l="1"/>
  <c r="L23"/>
</calcChain>
</file>

<file path=xl/sharedStrings.xml><?xml version="1.0" encoding="utf-8"?>
<sst xmlns="http://schemas.openxmlformats.org/spreadsheetml/2006/main" count="178" uniqueCount="140">
  <si>
    <t>Таблица 1</t>
  </si>
  <si>
    <t>№ п/п</t>
  </si>
  <si>
    <t>Наименование индикатора</t>
  </si>
  <si>
    <t>Ед. изм.</t>
  </si>
  <si>
    <t>отчет</t>
  </si>
  <si>
    <t>оценка</t>
  </si>
  <si>
    <t>2011 год</t>
  </si>
  <si>
    <t>2012 года</t>
  </si>
  <si>
    <t>2013 год</t>
  </si>
  <si>
    <t>2014 год</t>
  </si>
  <si>
    <t>2015 год</t>
  </si>
  <si>
    <t>2016 год</t>
  </si>
  <si>
    <t>1.</t>
  </si>
  <si>
    <t>Демографическая ситуация</t>
  </si>
  <si>
    <t>1.1.</t>
  </si>
  <si>
    <t>Среднегодовая численность постоянного населения</t>
  </si>
  <si>
    <t>тыс. чел.</t>
  </si>
  <si>
    <t>1.2.</t>
  </si>
  <si>
    <t>Естественный прирост (убыль) человек</t>
  </si>
  <si>
    <t>тыс.чел.</t>
  </si>
  <si>
    <t>1.3.</t>
  </si>
  <si>
    <t>Миграционный прирост (убыль) населения</t>
  </si>
  <si>
    <t>1.4.</t>
  </si>
  <si>
    <t>Численность населения трудоспособного возраста</t>
  </si>
  <si>
    <t>2.</t>
  </si>
  <si>
    <t>Труд</t>
  </si>
  <si>
    <t>2.1.</t>
  </si>
  <si>
    <t>Фонд оплаты труда работников предприятий, организаций расположенных на территории муниципального образования</t>
  </si>
  <si>
    <t>млн. руб.</t>
  </si>
  <si>
    <t>2.2.</t>
  </si>
  <si>
    <t>Среднесписочная численность работников (без внешних совместителей) всех предприятий и организаций</t>
  </si>
  <si>
    <t>2.3.</t>
  </si>
  <si>
    <t>Среднемесячная номинальная начисленная заработная плата работников:</t>
  </si>
  <si>
    <t>2.3.1.</t>
  </si>
  <si>
    <t>крупных и средних предприятий и некоммерческих организаций</t>
  </si>
  <si>
    <t>рублей</t>
  </si>
  <si>
    <t>2.3.2.</t>
  </si>
  <si>
    <t>муниципальных дошкольных образовательных учреждений, в т.ч.:</t>
  </si>
  <si>
    <t>2.3.3.</t>
  </si>
  <si>
    <t>2.3.4.</t>
  </si>
  <si>
    <t>муниципальных общеобразовательных учреждений, в т.ч.:</t>
  </si>
  <si>
    <t>2.3.5.</t>
  </si>
  <si>
    <t xml:space="preserve">       педагогов муниципальных общеобразовательных учреждений</t>
  </si>
  <si>
    <t>2.3.6.</t>
  </si>
  <si>
    <t xml:space="preserve">             -из них учителей муниципальных общеобразовательных учреждений</t>
  </si>
  <si>
    <t>2.3.7.</t>
  </si>
  <si>
    <t>муниципальных учреждений культуры и искусства</t>
  </si>
  <si>
    <t>2.3.8.</t>
  </si>
  <si>
    <t>муниципальных учреждений физической культуры и спорта</t>
  </si>
  <si>
    <t>3.</t>
  </si>
  <si>
    <t>Предпринимательство</t>
  </si>
  <si>
    <t>3.1.</t>
  </si>
  <si>
    <t>Число субъектов малого и среднего предпринимательства, в т.ч.</t>
  </si>
  <si>
    <t>единиц на 10 тыс. чел.</t>
  </si>
  <si>
    <t>индивидуальных предпринимателей</t>
  </si>
  <si>
    <t>3.2.</t>
  </si>
  <si>
    <t>Среднесписочная численность работников (без внешних совместителей), занятых на малых предприятиях</t>
  </si>
  <si>
    <t>3.3.</t>
  </si>
  <si>
    <t>4.</t>
  </si>
  <si>
    <t>Потребительский рынок</t>
  </si>
  <si>
    <t>4.1.</t>
  </si>
  <si>
    <t xml:space="preserve"> Оборот розничной торговли</t>
  </si>
  <si>
    <t>млн. руб</t>
  </si>
  <si>
    <t>4.2.</t>
  </si>
  <si>
    <t>Оборот общественного питания</t>
  </si>
  <si>
    <t>4.3.</t>
  </si>
  <si>
    <t>Объем реализации платных услуг населению</t>
  </si>
  <si>
    <t>5.</t>
  </si>
  <si>
    <t>Образование</t>
  </si>
  <si>
    <t>5.1.</t>
  </si>
  <si>
    <t>Общая численность детей в возрасте 1 - 6 лет</t>
  </si>
  <si>
    <t>чел.</t>
  </si>
  <si>
    <t>5.2.</t>
  </si>
  <si>
    <t>Количество детей в возрасте 1 - 6 лет, получающих дошкольную образовательную услугу и (или) услугу по их содержанию в муниципальных образовательных учреждениях</t>
  </si>
  <si>
    <t>5.3.</t>
  </si>
  <si>
    <t>Количество детей в возрасте 1 - 6 лет, стоящих на учете для определения в муниципальные дошкольные образовательные учреждения</t>
  </si>
  <si>
    <t>5.4.</t>
  </si>
  <si>
    <t>Общая численность обучающихся в муниципальных общеобразовательных учреждениях</t>
  </si>
  <si>
    <t>5.5.</t>
  </si>
  <si>
    <t>Количество обучающихся в муниципальных общеобразовательных учреждениях, занимающихся во вторую (третью) смену</t>
  </si>
  <si>
    <t>6.</t>
  </si>
  <si>
    <t>Прочие показатели</t>
  </si>
  <si>
    <t>6.1.</t>
  </si>
  <si>
    <t>Общая площадь территории городского округа</t>
  </si>
  <si>
    <t>га</t>
  </si>
  <si>
    <t>6.2.</t>
  </si>
  <si>
    <t>Площадь земельных участков, являющихся объектами налогообложения земельным налогом</t>
  </si>
  <si>
    <t>6.3.</t>
  </si>
  <si>
    <t>Общая площадь жилых помещений, приходящаяся в среднем на одного жителя</t>
  </si>
  <si>
    <t>кв.м</t>
  </si>
  <si>
    <t>* - предоставлены показатели за 9 месяцев</t>
  </si>
  <si>
    <t>4.4. Объем работ, выполненных по виду деятельности "строительство" за 2007г</t>
  </si>
  <si>
    <t>предоставлены показатели за 9 месяцев *</t>
  </si>
  <si>
    <t>5. Ввод в действие жилья и объектов соцкультбыта за 2007 г предоставлены показатели за 9 месяцев *</t>
  </si>
  <si>
    <t>5. Потребительский рынок за 2007 год представлены показатели за 9 месяцев *</t>
  </si>
  <si>
    <t>Прогноз на 2011 год 1 Вариант не представлен, отсутствует индекс-дефлятор</t>
  </si>
  <si>
    <t>2017 год</t>
  </si>
  <si>
    <t>прогноз</t>
  </si>
  <si>
    <t>Прогноз социально-экономического развития МО "Городской округ "Город Нарьян-Мар" на 2015 год и плановый период 2016-2017 годов</t>
  </si>
  <si>
    <t>тыс. чел</t>
  </si>
  <si>
    <t>Оборот продукции (услуг), производимый малыми предприятиями, в т.ч.</t>
  </si>
  <si>
    <t>микропредприятиями</t>
  </si>
  <si>
    <t>индивидуальными предпринимателями</t>
  </si>
  <si>
    <t xml:space="preserve"> педагогов муниципальных дошкольных образовательных учреждений</t>
  </si>
  <si>
    <t>Число субъектов малого и среднего предпринимательства</t>
  </si>
  <si>
    <t>единиц</t>
  </si>
  <si>
    <t>Число индивидуальных предпринимателей</t>
  </si>
  <si>
    <t>6 месяцев 2014</t>
  </si>
  <si>
    <t>0,65*</t>
  </si>
  <si>
    <t>* - по состоянию на 01.01.2014</t>
  </si>
  <si>
    <t>2368,2**</t>
  </si>
  <si>
    <t>778,2**</t>
  </si>
  <si>
    <t>** - за период с января по март 2014</t>
  </si>
  <si>
    <t>15,5*</t>
  </si>
  <si>
    <t>14,3*</t>
  </si>
  <si>
    <t>23,2*</t>
  </si>
  <si>
    <t>386,4*</t>
  </si>
  <si>
    <t>956,7*</t>
  </si>
  <si>
    <t>22,8*</t>
  </si>
  <si>
    <t>443*</t>
  </si>
  <si>
    <t>292*</t>
  </si>
  <si>
    <t>60 058,0*</t>
  </si>
  <si>
    <t>41 547,9*</t>
  </si>
  <si>
    <t>62 163,5*</t>
  </si>
  <si>
    <t>1 921,3*</t>
  </si>
  <si>
    <t>2168*</t>
  </si>
  <si>
    <t>1642*</t>
  </si>
  <si>
    <t>728*</t>
  </si>
  <si>
    <t>2998*</t>
  </si>
  <si>
    <t>304*</t>
  </si>
  <si>
    <t>9 месяцев 2014</t>
  </si>
  <si>
    <t>65 423,7**</t>
  </si>
  <si>
    <t>0,08***</t>
  </si>
  <si>
    <t>*** - за период с января по июнь 2014</t>
  </si>
  <si>
    <t>0,1***</t>
  </si>
  <si>
    <t>5014,3***</t>
  </si>
  <si>
    <t>4320*</t>
  </si>
  <si>
    <t>инф-я отсутствует</t>
  </si>
  <si>
    <t>кв.км</t>
  </si>
  <si>
    <t>4,32*</t>
  </si>
</sst>
</file>

<file path=xl/styles.xml><?xml version="1.0" encoding="utf-8"?>
<styleSheet xmlns="http://schemas.openxmlformats.org/spreadsheetml/2006/main">
  <numFmts count="7">
    <numFmt numFmtId="164" formatCode="0.0"/>
    <numFmt numFmtId="165" formatCode="_(* #,##0.00_);_(* \(#,##0.00\);_(* &quot;-&quot;??_);_(@_)"/>
    <numFmt numFmtId="166" formatCode="0.0%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0.000"/>
  </numFmts>
  <fonts count="12">
    <font>
      <sz val="10"/>
      <name val="Arial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 CYR"/>
      <family val="1"/>
      <charset val="204"/>
    </font>
    <font>
      <i/>
      <u/>
      <sz val="11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166" fontId="4" fillId="0" borderId="0" xfId="2" applyNumberFormat="1" applyFont="1" applyAlignment="1"/>
    <xf numFmtId="0" fontId="9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0" fillId="0" borderId="0" xfId="0" applyFont="1" applyBorder="1" applyAlignment="1">
      <alignment wrapText="1"/>
    </xf>
    <xf numFmtId="0" fontId="11" fillId="0" borderId="0" xfId="0" applyFont="1"/>
    <xf numFmtId="0" fontId="10" fillId="0" borderId="1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1" fontId="4" fillId="0" borderId="0" xfId="0" applyNumberFormat="1" applyFont="1"/>
    <xf numFmtId="0" fontId="7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top" wrapText="1"/>
    </xf>
    <xf numFmtId="1" fontId="2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7" fontId="7" fillId="3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8" fontId="4" fillId="2" borderId="2" xfId="1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8" fontId="4" fillId="0" borderId="2" xfId="1" applyNumberFormat="1" applyFont="1" applyFill="1" applyBorder="1" applyAlignment="1">
      <alignment horizontal="center"/>
    </xf>
    <xf numFmtId="168" fontId="7" fillId="0" borderId="2" xfId="1" applyNumberFormat="1" applyFont="1" applyBorder="1" applyAlignment="1">
      <alignment horizontal="center" vertical="top" wrapText="1"/>
    </xf>
    <xf numFmtId="168" fontId="4" fillId="0" borderId="2" xfId="1" applyNumberFormat="1" applyFont="1" applyBorder="1" applyAlignment="1">
      <alignment horizontal="center"/>
    </xf>
    <xf numFmtId="167" fontId="2" fillId="2" borderId="2" xfId="1" applyNumberFormat="1" applyFont="1" applyFill="1" applyBorder="1" applyAlignment="1">
      <alignment horizontal="center"/>
    </xf>
    <xf numFmtId="167" fontId="4" fillId="2" borderId="2" xfId="1" applyNumberFormat="1" applyFont="1" applyFill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65" fontId="6" fillId="2" borderId="0" xfId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169" fontId="4" fillId="0" borderId="2" xfId="1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164" fontId="6" fillId="0" borderId="2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top" wrapText="1"/>
    </xf>
    <xf numFmtId="1" fontId="4" fillId="0" borderId="2" xfId="1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4" fontId="4" fillId="0" borderId="2" xfId="1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164" fontId="6" fillId="0" borderId="2" xfId="0" applyNumberFormat="1" applyFont="1" applyBorder="1" applyAlignment="1">
      <alignment horizontal="center" wrapText="1"/>
    </xf>
    <xf numFmtId="168" fontId="7" fillId="0" borderId="2" xfId="1" applyNumberFormat="1" applyFont="1" applyBorder="1" applyAlignment="1">
      <alignment horizontal="center" wrapText="1"/>
    </xf>
    <xf numFmtId="167" fontId="7" fillId="0" borderId="2" xfId="0" applyNumberFormat="1" applyFont="1" applyFill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  <xf numFmtId="167" fontId="4" fillId="0" borderId="2" xfId="1" applyNumberFormat="1" applyFont="1" applyBorder="1" applyAlignment="1">
      <alignment horizontal="center"/>
    </xf>
    <xf numFmtId="1" fontId="2" fillId="2" borderId="2" xfId="1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/>
    </xf>
    <xf numFmtId="4" fontId="4" fillId="2" borderId="2" xfId="1" applyNumberFormat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2" fontId="4" fillId="2" borderId="2" xfId="1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8" fontId="7" fillId="2" borderId="2" xfId="1" applyNumberFormat="1" applyFont="1" applyFill="1" applyBorder="1" applyAlignment="1">
      <alignment horizontal="center" wrapText="1"/>
    </xf>
    <xf numFmtId="1" fontId="4" fillId="2" borderId="2" xfId="1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70" fontId="7" fillId="2" borderId="7" xfId="0" applyNumberFormat="1" applyFont="1" applyFill="1" applyBorder="1" applyAlignment="1">
      <alignment horizontal="center"/>
    </xf>
    <xf numFmtId="170" fontId="4" fillId="2" borderId="2" xfId="1" applyNumberFormat="1" applyFont="1" applyFill="1" applyBorder="1" applyAlignment="1">
      <alignment horizontal="center"/>
    </xf>
    <xf numFmtId="170" fontId="7" fillId="0" borderId="7" xfId="0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X55"/>
  <sheetViews>
    <sheetView tabSelected="1" view="pageBreakPreview" zoomScaleNormal="100" zoomScaleSheetLayoutView="100" workbookViewId="0">
      <pane xSplit="3" ySplit="5" topLeftCell="E47" activePane="bottomRight" state="frozen"/>
      <selection pane="topRight" activeCell="D1" sqref="D1"/>
      <selection pane="bottomLeft" activeCell="A8" sqref="A8"/>
      <selection pane="bottomRight" activeCell="A48" sqref="A48:B48"/>
    </sheetView>
  </sheetViews>
  <sheetFormatPr defaultRowHeight="15" outlineLevelRow="1" outlineLevelCol="1"/>
  <cols>
    <col min="1" max="1" width="5.85546875" style="27" customWidth="1"/>
    <col min="2" max="2" width="49.28515625" style="4" customWidth="1"/>
    <col min="3" max="3" width="10.5703125" style="5" customWidth="1"/>
    <col min="4" max="4" width="11.42578125" style="33" hidden="1" customWidth="1" outlineLevel="1"/>
    <col min="5" max="5" width="11.7109375" style="33" customWidth="1" collapsed="1"/>
    <col min="6" max="6" width="11.7109375" style="33" customWidth="1"/>
    <col min="7" max="7" width="11.7109375" style="33" hidden="1" customWidth="1" outlineLevel="1"/>
    <col min="8" max="8" width="11.7109375" style="76" customWidth="1" collapsed="1"/>
    <col min="9" max="9" width="10.42578125" style="76" customWidth="1"/>
    <col min="10" max="10" width="10.5703125" style="33" customWidth="1" outlineLevel="1"/>
    <col min="11" max="12" width="10.28515625" style="33" customWidth="1" outlineLevel="1"/>
    <col min="13" max="13" width="0" style="4" hidden="1" customWidth="1"/>
    <col min="14" max="14" width="9.140625" style="4"/>
    <col min="15" max="16384" width="9.140625" style="1"/>
  </cols>
  <sheetData>
    <row r="1" spans="1:50" ht="33" customHeight="1" outlineLevel="1">
      <c r="A1" s="92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50">
      <c r="J2" s="94" t="s">
        <v>0</v>
      </c>
      <c r="K2" s="94"/>
      <c r="L2" s="57"/>
    </row>
    <row r="3" spans="1:50" ht="12.75" customHeight="1">
      <c r="A3" s="95" t="s">
        <v>1</v>
      </c>
      <c r="B3" s="97" t="s">
        <v>2</v>
      </c>
      <c r="C3" s="97" t="s">
        <v>3</v>
      </c>
      <c r="D3" s="6" t="s">
        <v>4</v>
      </c>
      <c r="E3" s="6" t="s">
        <v>4</v>
      </c>
      <c r="F3" s="6" t="s">
        <v>4</v>
      </c>
      <c r="G3" s="6" t="s">
        <v>4</v>
      </c>
      <c r="H3" s="77" t="s">
        <v>4</v>
      </c>
      <c r="I3" s="79" t="s">
        <v>5</v>
      </c>
      <c r="J3" s="98" t="s">
        <v>97</v>
      </c>
      <c r="K3" s="99"/>
      <c r="L3" s="99"/>
    </row>
    <row r="4" spans="1:50" ht="28.5">
      <c r="A4" s="96"/>
      <c r="B4" s="97"/>
      <c r="C4" s="97"/>
      <c r="D4" s="53" t="s">
        <v>6</v>
      </c>
      <c r="E4" s="53" t="s">
        <v>7</v>
      </c>
      <c r="F4" s="53" t="s">
        <v>8</v>
      </c>
      <c r="G4" s="58" t="s">
        <v>107</v>
      </c>
      <c r="H4" s="78" t="s">
        <v>130</v>
      </c>
      <c r="I4" s="77" t="s">
        <v>9</v>
      </c>
      <c r="J4" s="6" t="s">
        <v>10</v>
      </c>
      <c r="K4" s="6" t="s">
        <v>11</v>
      </c>
      <c r="L4" s="6" t="s">
        <v>96</v>
      </c>
    </row>
    <row r="5" spans="1:50">
      <c r="A5" s="28" t="s">
        <v>12</v>
      </c>
      <c r="B5" s="62" t="s">
        <v>13</v>
      </c>
      <c r="C5" s="63"/>
      <c r="D5" s="63"/>
      <c r="E5" s="63"/>
      <c r="F5" s="63"/>
      <c r="G5" s="63"/>
      <c r="H5" s="63"/>
      <c r="I5" s="63"/>
      <c r="J5" s="63"/>
      <c r="K5" s="63"/>
      <c r="L5" s="52"/>
    </row>
    <row r="6" spans="1:50">
      <c r="A6" s="28" t="s">
        <v>14</v>
      </c>
      <c r="B6" s="21" t="s">
        <v>15</v>
      </c>
      <c r="C6" s="55" t="s">
        <v>99</v>
      </c>
      <c r="D6" s="34">
        <v>22.038</v>
      </c>
      <c r="E6" s="34">
        <v>22.643999999999998</v>
      </c>
      <c r="F6" s="34">
        <v>23.151</v>
      </c>
      <c r="G6" s="34" t="s">
        <v>115</v>
      </c>
      <c r="H6" s="23">
        <f>F6+0.079+0.056</f>
        <v>23.286000000000001</v>
      </c>
      <c r="I6" s="23">
        <f>F6+I7+I8</f>
        <v>23.626139999999999</v>
      </c>
      <c r="J6" s="34">
        <f>I6+J7+J8</f>
        <v>24.102859999999996</v>
      </c>
      <c r="K6" s="34">
        <f>J6+K7+K8</f>
        <v>24.581175799999993</v>
      </c>
      <c r="L6" s="34">
        <f>K6+L7+L8</f>
        <v>25.061103357999993</v>
      </c>
      <c r="M6" s="9"/>
      <c r="N6" s="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>
      <c r="A7" s="28" t="s">
        <v>17</v>
      </c>
      <c r="B7" s="21" t="s">
        <v>18</v>
      </c>
      <c r="C7" s="55" t="s">
        <v>19</v>
      </c>
      <c r="D7" s="35">
        <v>0.11700000000000001</v>
      </c>
      <c r="E7" s="35">
        <v>0.14099999999999999</v>
      </c>
      <c r="F7" s="35">
        <f>164/1000</f>
        <v>0.16400000000000001</v>
      </c>
      <c r="G7" s="35">
        <f>76/1000</f>
        <v>7.5999999999999998E-2</v>
      </c>
      <c r="H7" s="80" t="s">
        <v>132</v>
      </c>
      <c r="I7" s="80">
        <f>(79*2)/1000</f>
        <v>0.158</v>
      </c>
      <c r="J7" s="47">
        <f t="shared" ref="J7:L7" si="0">SUM(I7*1.01)</f>
        <v>0.15958</v>
      </c>
      <c r="K7" s="47">
        <f t="shared" si="0"/>
        <v>0.16117580000000001</v>
      </c>
      <c r="L7" s="47">
        <f t="shared" si="0"/>
        <v>0.162787558</v>
      </c>
      <c r="M7" s="9"/>
      <c r="N7" s="9"/>
    </row>
    <row r="8" spans="1:50">
      <c r="A8" s="28" t="s">
        <v>20</v>
      </c>
      <c r="B8" s="21" t="s">
        <v>21</v>
      </c>
      <c r="C8" s="55" t="s">
        <v>19</v>
      </c>
      <c r="D8" s="36">
        <v>0.55800000000000005</v>
      </c>
      <c r="E8" s="36">
        <v>0.39600000000000002</v>
      </c>
      <c r="F8" s="36">
        <f>314/1000</f>
        <v>0.314</v>
      </c>
      <c r="G8" s="36">
        <f>56/1000</f>
        <v>5.6000000000000001E-2</v>
      </c>
      <c r="H8" s="23" t="s">
        <v>134</v>
      </c>
      <c r="I8" s="23">
        <f>314*1.01/1000</f>
        <v>0.31713999999999998</v>
      </c>
      <c r="J8" s="36">
        <f>I8</f>
        <v>0.31713999999999998</v>
      </c>
      <c r="K8" s="36">
        <f>J8</f>
        <v>0.31713999999999998</v>
      </c>
      <c r="L8" s="36">
        <f>K8</f>
        <v>0.31713999999999998</v>
      </c>
      <c r="M8" s="9"/>
      <c r="N8" s="9"/>
    </row>
    <row r="9" spans="1:50">
      <c r="A9" s="28" t="s">
        <v>22</v>
      </c>
      <c r="B9" s="21" t="s">
        <v>23</v>
      </c>
      <c r="C9" s="55" t="s">
        <v>19</v>
      </c>
      <c r="D9" s="36">
        <v>14.12</v>
      </c>
      <c r="E9" s="34">
        <v>14.26</v>
      </c>
      <c r="F9" s="34">
        <f>14258/1000</f>
        <v>14.257999999999999</v>
      </c>
      <c r="G9" s="34" t="s">
        <v>114</v>
      </c>
      <c r="H9" s="23" t="s">
        <v>114</v>
      </c>
      <c r="I9" s="23">
        <f>SUM(F9*1.01)</f>
        <v>14.40058</v>
      </c>
      <c r="J9" s="34">
        <v>14.6</v>
      </c>
      <c r="K9" s="34">
        <v>14.7</v>
      </c>
      <c r="L9" s="34">
        <v>14.7</v>
      </c>
      <c r="M9" s="9"/>
      <c r="N9" s="9"/>
    </row>
    <row r="10" spans="1:50">
      <c r="A10" s="28" t="s">
        <v>24</v>
      </c>
      <c r="B10" s="64" t="s">
        <v>25</v>
      </c>
      <c r="C10" s="63"/>
      <c r="D10" s="63"/>
      <c r="E10" s="63"/>
      <c r="F10" s="63"/>
      <c r="G10" s="63"/>
      <c r="H10" s="63"/>
      <c r="I10" s="63"/>
      <c r="J10" s="63"/>
      <c r="K10" s="63"/>
      <c r="L10" s="52"/>
      <c r="M10" s="9"/>
      <c r="N10" s="9"/>
    </row>
    <row r="11" spans="1:50" ht="45">
      <c r="A11" s="28" t="s">
        <v>26</v>
      </c>
      <c r="B11" s="21" t="s">
        <v>27</v>
      </c>
      <c r="C11" s="55" t="s">
        <v>28</v>
      </c>
      <c r="D11" s="37">
        <v>8670.7999999999993</v>
      </c>
      <c r="E11" s="37">
        <v>9248.2000000000007</v>
      </c>
      <c r="F11" s="37">
        <v>10156.27</v>
      </c>
      <c r="G11" s="37" t="s">
        <v>110</v>
      </c>
      <c r="H11" s="37" t="s">
        <v>135</v>
      </c>
      <c r="I11" s="37">
        <f>PRODUCT(F11*1.1)</f>
        <v>11171.897000000001</v>
      </c>
      <c r="J11" s="37">
        <f>PRODUCT(I11*1.07)</f>
        <v>11953.929790000002</v>
      </c>
      <c r="K11" s="37">
        <f>PRODUCT(J11*1.07)</f>
        <v>12790.704875300004</v>
      </c>
      <c r="L11" s="37">
        <f>PRODUCT(K11*1.07)</f>
        <v>13686.054216571005</v>
      </c>
      <c r="M11" s="9"/>
      <c r="N11" s="9"/>
    </row>
    <row r="12" spans="1:50" ht="45">
      <c r="A12" s="28" t="s">
        <v>29</v>
      </c>
      <c r="B12" s="21" t="s">
        <v>30</v>
      </c>
      <c r="C12" s="55" t="s">
        <v>16</v>
      </c>
      <c r="D12" s="23">
        <v>15.606999999999999</v>
      </c>
      <c r="E12" s="23">
        <v>15.449</v>
      </c>
      <c r="F12" s="23">
        <v>15.459</v>
      </c>
      <c r="G12" s="23" t="s">
        <v>113</v>
      </c>
      <c r="H12" s="23" t="s">
        <v>113</v>
      </c>
      <c r="I12" s="23">
        <v>15.468999999999999</v>
      </c>
      <c r="J12" s="23">
        <v>15.478999999999999</v>
      </c>
      <c r="K12" s="23">
        <v>15.468999999999999</v>
      </c>
      <c r="L12" s="23">
        <f>K12+0.01</f>
        <v>15.478999999999999</v>
      </c>
    </row>
    <row r="13" spans="1:50" ht="30">
      <c r="A13" s="28" t="s">
        <v>31</v>
      </c>
      <c r="B13" s="55" t="s">
        <v>32</v>
      </c>
      <c r="C13" s="55"/>
      <c r="D13" s="38"/>
      <c r="E13" s="38"/>
      <c r="F13" s="38"/>
      <c r="G13" s="38"/>
      <c r="H13" s="81"/>
      <c r="I13" s="81"/>
      <c r="J13" s="38"/>
      <c r="K13" s="38"/>
      <c r="L13" s="38"/>
    </row>
    <row r="14" spans="1:50" ht="30">
      <c r="A14" s="28" t="s">
        <v>33</v>
      </c>
      <c r="B14" s="55" t="s">
        <v>34</v>
      </c>
      <c r="C14" s="55" t="s">
        <v>35</v>
      </c>
      <c r="D14" s="39">
        <v>49360.3</v>
      </c>
      <c r="E14" s="39">
        <v>57399.4</v>
      </c>
      <c r="F14" s="39">
        <v>62163.5</v>
      </c>
      <c r="G14" s="39" t="s">
        <v>123</v>
      </c>
      <c r="H14" s="37" t="s">
        <v>131</v>
      </c>
      <c r="I14" s="37">
        <v>65893.3</v>
      </c>
      <c r="J14" s="24">
        <f>I14*1.06</f>
        <v>69846.898000000001</v>
      </c>
      <c r="K14" s="24">
        <f t="shared" ref="K14:L14" si="1">J14*1.06</f>
        <v>74037.711880000003</v>
      </c>
      <c r="L14" s="24">
        <f t="shared" si="1"/>
        <v>78479.974592800005</v>
      </c>
    </row>
    <row r="15" spans="1:50" ht="30">
      <c r="A15" s="28" t="s">
        <v>36</v>
      </c>
      <c r="B15" s="55" t="s">
        <v>37</v>
      </c>
      <c r="C15" s="20" t="s">
        <v>35</v>
      </c>
      <c r="D15" s="40">
        <v>30461.9</v>
      </c>
      <c r="E15" s="67">
        <v>35179</v>
      </c>
      <c r="F15" s="67">
        <v>41863.199999999997</v>
      </c>
      <c r="G15" s="67">
        <v>46494.9</v>
      </c>
      <c r="H15" s="82">
        <v>42709.8</v>
      </c>
      <c r="I15" s="37">
        <v>44300</v>
      </c>
      <c r="J15" s="69">
        <v>46621.5</v>
      </c>
      <c r="K15" s="69">
        <v>48952.5</v>
      </c>
      <c r="L15" s="68">
        <f>K15*1.05</f>
        <v>51400.125</v>
      </c>
      <c r="M15" s="9"/>
      <c r="N15" s="9"/>
    </row>
    <row r="16" spans="1:50" ht="30">
      <c r="A16" s="28" t="s">
        <v>38</v>
      </c>
      <c r="B16" s="21" t="s">
        <v>103</v>
      </c>
      <c r="C16" s="20" t="s">
        <v>35</v>
      </c>
      <c r="D16" s="41"/>
      <c r="E16" s="41"/>
      <c r="F16" s="41">
        <v>47511.7</v>
      </c>
      <c r="G16" s="41">
        <v>57589.5</v>
      </c>
      <c r="H16" s="37">
        <v>50027.199999999997</v>
      </c>
      <c r="I16" s="37">
        <v>51075</v>
      </c>
      <c r="J16" s="69">
        <v>55384.800000000003</v>
      </c>
      <c r="K16" s="69">
        <v>58154</v>
      </c>
      <c r="L16" s="68">
        <f>K16*1.05</f>
        <v>61061.700000000004</v>
      </c>
      <c r="M16" s="9"/>
      <c r="N16" s="9"/>
    </row>
    <row r="17" spans="1:14" ht="30">
      <c r="A17" s="28" t="s">
        <v>39</v>
      </c>
      <c r="B17" s="55" t="s">
        <v>40</v>
      </c>
      <c r="C17" s="55" t="s">
        <v>35</v>
      </c>
      <c r="D17" s="41">
        <v>44123.7</v>
      </c>
      <c r="E17" s="41">
        <v>48771.4</v>
      </c>
      <c r="F17" s="41">
        <v>55030</v>
      </c>
      <c r="G17" s="41">
        <v>72291</v>
      </c>
      <c r="H17" s="37">
        <v>59256.2</v>
      </c>
      <c r="I17" s="37">
        <v>59256.2</v>
      </c>
      <c r="J17" s="70">
        <f>I17*1.05</f>
        <v>62219.01</v>
      </c>
      <c r="K17" s="70">
        <f t="shared" ref="K17:L17" si="2">J17*1.05</f>
        <v>65329.960500000008</v>
      </c>
      <c r="L17" s="70">
        <f t="shared" si="2"/>
        <v>68596.458525000009</v>
      </c>
      <c r="M17" s="9"/>
      <c r="N17" s="9"/>
    </row>
    <row r="18" spans="1:14" ht="30">
      <c r="A18" s="28" t="s">
        <v>41</v>
      </c>
      <c r="B18" s="21" t="s">
        <v>42</v>
      </c>
      <c r="C18" s="55" t="s">
        <v>35</v>
      </c>
      <c r="D18" s="41"/>
      <c r="E18" s="39"/>
      <c r="F18" s="39">
        <v>63437.4</v>
      </c>
      <c r="G18" s="39">
        <v>87439</v>
      </c>
      <c r="H18" s="37">
        <v>68457.8</v>
      </c>
      <c r="I18" s="37">
        <v>68457.8</v>
      </c>
      <c r="J18" s="69">
        <v>71342.7</v>
      </c>
      <c r="K18" s="69">
        <v>74909.8</v>
      </c>
      <c r="L18" s="69">
        <f>K18*1.05</f>
        <v>78655.290000000008</v>
      </c>
      <c r="M18" s="9"/>
      <c r="N18" s="9"/>
    </row>
    <row r="19" spans="1:14" ht="30">
      <c r="A19" s="28" t="s">
        <v>43</v>
      </c>
      <c r="B19" s="55" t="s">
        <v>44</v>
      </c>
      <c r="C19" s="55" t="s">
        <v>35</v>
      </c>
      <c r="D19" s="41">
        <v>48736.4</v>
      </c>
      <c r="E19" s="41">
        <v>53870</v>
      </c>
      <c r="F19" s="39">
        <v>65066.7</v>
      </c>
      <c r="G19" s="39">
        <v>89805</v>
      </c>
      <c r="H19" s="37">
        <v>69434.3</v>
      </c>
      <c r="I19" s="37">
        <v>69434.3</v>
      </c>
      <c r="J19" s="70">
        <f>I19*1.05</f>
        <v>72906.014999999999</v>
      </c>
      <c r="K19" s="70">
        <f>J19*1.05</f>
        <v>76551.315750000009</v>
      </c>
      <c r="L19" s="69">
        <f>K19*1.05</f>
        <v>80378.881537500012</v>
      </c>
      <c r="M19" s="9"/>
      <c r="N19" s="9"/>
    </row>
    <row r="20" spans="1:14">
      <c r="A20" s="28" t="s">
        <v>45</v>
      </c>
      <c r="B20" s="55" t="s">
        <v>46</v>
      </c>
      <c r="C20" s="55" t="s">
        <v>35</v>
      </c>
      <c r="D20" s="37">
        <v>40098.400000000001</v>
      </c>
      <c r="E20" s="37">
        <v>42642</v>
      </c>
      <c r="F20" s="37">
        <v>60058</v>
      </c>
      <c r="G20" s="37" t="s">
        <v>121</v>
      </c>
      <c r="H20" s="37">
        <v>63906</v>
      </c>
      <c r="I20" s="37">
        <f>F20*1.05</f>
        <v>63060.9</v>
      </c>
      <c r="J20" s="43">
        <f>I20*1.05</f>
        <v>66213.945000000007</v>
      </c>
      <c r="K20" s="43">
        <f t="shared" ref="K20:L20" si="3">J20*1.05</f>
        <v>69524.642250000004</v>
      </c>
      <c r="L20" s="43">
        <f t="shared" si="3"/>
        <v>73000.874362500006</v>
      </c>
      <c r="M20" s="9"/>
      <c r="N20" s="9"/>
    </row>
    <row r="21" spans="1:14" ht="30">
      <c r="A21" s="29" t="s">
        <v>47</v>
      </c>
      <c r="B21" s="55" t="s">
        <v>48</v>
      </c>
      <c r="C21" s="55" t="s">
        <v>35</v>
      </c>
      <c r="D21" s="23"/>
      <c r="E21" s="23">
        <v>34816.9</v>
      </c>
      <c r="F21" s="23">
        <v>41547.9</v>
      </c>
      <c r="G21" s="23" t="s">
        <v>122</v>
      </c>
      <c r="H21" s="23">
        <v>50871</v>
      </c>
      <c r="I21" s="23">
        <v>50871</v>
      </c>
      <c r="J21" s="43">
        <f t="shared" ref="J21:L21" si="4">I21*1.05</f>
        <v>53414.55</v>
      </c>
      <c r="K21" s="43">
        <f t="shared" si="4"/>
        <v>56085.277500000004</v>
      </c>
      <c r="L21" s="43">
        <f t="shared" si="4"/>
        <v>58889.541375000008</v>
      </c>
      <c r="M21" s="9"/>
      <c r="N21" s="9"/>
    </row>
    <row r="22" spans="1:14">
      <c r="A22" s="29" t="s">
        <v>49</v>
      </c>
      <c r="B22" s="54" t="s">
        <v>50</v>
      </c>
      <c r="C22" s="65"/>
      <c r="D22" s="63"/>
      <c r="E22" s="63"/>
      <c r="F22" s="63"/>
      <c r="G22" s="63"/>
      <c r="H22" s="63"/>
      <c r="I22" s="63"/>
      <c r="J22" s="63"/>
      <c r="K22" s="63"/>
      <c r="L22" s="52"/>
      <c r="M22" s="9"/>
      <c r="N22" s="9"/>
    </row>
    <row r="23" spans="1:14" ht="45">
      <c r="A23" s="29" t="s">
        <v>51</v>
      </c>
      <c r="B23" s="55" t="s">
        <v>52</v>
      </c>
      <c r="C23" s="10" t="s">
        <v>53</v>
      </c>
      <c r="D23" s="22">
        <f t="shared" ref="D23:E23" si="5">D24*100/10/D6</f>
        <v>379.79852981214265</v>
      </c>
      <c r="E23" s="22">
        <f t="shared" si="5"/>
        <v>413.79614909026679</v>
      </c>
      <c r="F23" s="22">
        <f>F24*100/10/F6</f>
        <v>442.74545376009678</v>
      </c>
      <c r="G23" s="22" t="s">
        <v>119</v>
      </c>
      <c r="H23" s="71" t="s">
        <v>137</v>
      </c>
      <c r="I23" s="22">
        <f t="shared" ref="I23:L23" si="6">I24*100/10/I6</f>
        <v>444.4229992711463</v>
      </c>
      <c r="J23" s="22">
        <f t="shared" si="6"/>
        <v>446.00516287278776</v>
      </c>
      <c r="K23" s="22">
        <f t="shared" si="6"/>
        <v>447.49690126702575</v>
      </c>
      <c r="L23" s="22">
        <f t="shared" si="6"/>
        <v>448.90282120834001</v>
      </c>
      <c r="M23" s="9"/>
      <c r="N23" s="9"/>
    </row>
    <row r="24" spans="1:14" ht="30" hidden="1" outlineLevel="1">
      <c r="A24" s="30"/>
      <c r="B24" s="25" t="s">
        <v>104</v>
      </c>
      <c r="C24" s="26" t="s">
        <v>105</v>
      </c>
      <c r="D24" s="72">
        <f>229+608</f>
        <v>837</v>
      </c>
      <c r="E24" s="72">
        <f>222+715</f>
        <v>937</v>
      </c>
      <c r="F24" s="72">
        <v>1025</v>
      </c>
      <c r="G24" s="72"/>
      <c r="H24" s="71" t="s">
        <v>137</v>
      </c>
      <c r="I24" s="72">
        <f>F24+25</f>
        <v>1050</v>
      </c>
      <c r="J24" s="72">
        <f>I24+25</f>
        <v>1075</v>
      </c>
      <c r="K24" s="72">
        <f>J24+25</f>
        <v>1100</v>
      </c>
      <c r="L24" s="72">
        <f>K24+25</f>
        <v>1125</v>
      </c>
      <c r="M24" s="9"/>
      <c r="N24" s="9"/>
    </row>
    <row r="25" spans="1:14" ht="26.25" hidden="1" outlineLevel="1">
      <c r="A25" s="30"/>
      <c r="B25" s="25" t="s">
        <v>106</v>
      </c>
      <c r="C25" s="26" t="s">
        <v>105</v>
      </c>
      <c r="D25" s="72">
        <v>671</v>
      </c>
      <c r="E25" s="72">
        <v>697</v>
      </c>
      <c r="F25" s="72">
        <v>675</v>
      </c>
      <c r="G25" s="72"/>
      <c r="H25" s="71" t="s">
        <v>137</v>
      </c>
      <c r="I25" s="72">
        <v>685</v>
      </c>
      <c r="J25" s="72">
        <f>695+10</f>
        <v>705</v>
      </c>
      <c r="K25" s="72">
        <f>705+15</f>
        <v>720</v>
      </c>
      <c r="L25" s="72">
        <f>715+22</f>
        <v>737</v>
      </c>
      <c r="M25" s="9"/>
      <c r="N25" s="9"/>
    </row>
    <row r="26" spans="1:14" ht="45" collapsed="1">
      <c r="A26" s="31"/>
      <c r="B26" s="21" t="s">
        <v>54</v>
      </c>
      <c r="C26" s="10" t="s">
        <v>53</v>
      </c>
      <c r="D26" s="22">
        <f>D25/D6*10</f>
        <v>304.47409020782283</v>
      </c>
      <c r="E26" s="22">
        <f t="shared" ref="E26:L26" si="7">E25/E6*10</f>
        <v>307.80780780780782</v>
      </c>
      <c r="F26" s="22">
        <f t="shared" si="7"/>
        <v>291.56407930542957</v>
      </c>
      <c r="G26" s="22" t="s">
        <v>120</v>
      </c>
      <c r="H26" s="71" t="s">
        <v>137</v>
      </c>
      <c r="I26" s="22">
        <f t="shared" si="7"/>
        <v>289.93309952450971</v>
      </c>
      <c r="J26" s="22">
        <f t="shared" si="7"/>
        <v>292.49640913982824</v>
      </c>
      <c r="K26" s="22">
        <f t="shared" si="7"/>
        <v>292.90706264750776</v>
      </c>
      <c r="L26" s="22">
        <f t="shared" si="7"/>
        <v>294.08122598270808</v>
      </c>
      <c r="M26" s="9"/>
      <c r="N26" s="9"/>
    </row>
    <row r="27" spans="1:14" ht="45">
      <c r="A27" s="31" t="s">
        <v>55</v>
      </c>
      <c r="B27" s="21" t="s">
        <v>56</v>
      </c>
      <c r="C27" s="55" t="s">
        <v>16</v>
      </c>
      <c r="D27" s="73">
        <v>0.59399999999999997</v>
      </c>
      <c r="E27" s="73">
        <f t="shared" ref="E27:L27" si="8">PRODUCT(D27*1.05)</f>
        <v>0.62370000000000003</v>
      </c>
      <c r="F27" s="74">
        <f>PRODUCT(E27*1.05)</f>
        <v>0.65488500000000005</v>
      </c>
      <c r="G27" s="74" t="s">
        <v>108</v>
      </c>
      <c r="H27" s="71" t="s">
        <v>137</v>
      </c>
      <c r="I27" s="73">
        <f>PRODUCT(F27*1.05)</f>
        <v>0.68762925000000008</v>
      </c>
      <c r="J27" s="73">
        <f t="shared" si="8"/>
        <v>0.72201071250000015</v>
      </c>
      <c r="K27" s="73">
        <f t="shared" si="8"/>
        <v>0.75811124812500019</v>
      </c>
      <c r="L27" s="73">
        <f t="shared" si="8"/>
        <v>0.79601681053125029</v>
      </c>
      <c r="M27" s="9"/>
      <c r="N27" s="9"/>
    </row>
    <row r="28" spans="1:14" ht="30">
      <c r="A28" s="28" t="s">
        <v>57</v>
      </c>
      <c r="B28" s="21" t="s">
        <v>100</v>
      </c>
      <c r="C28" s="55" t="s">
        <v>28</v>
      </c>
      <c r="D28" s="43">
        <v>1379.9</v>
      </c>
      <c r="E28" s="43">
        <f>PRODUCT(D28*1.055)</f>
        <v>1455.7945</v>
      </c>
      <c r="F28" s="42">
        <f>PRODUCT(E28*1.062)</f>
        <v>1546.0537590000001</v>
      </c>
      <c r="G28" s="42" t="s">
        <v>111</v>
      </c>
      <c r="H28" s="71" t="s">
        <v>137</v>
      </c>
      <c r="I28" s="43">
        <f>PRODUCT(F28*1.068)</f>
        <v>1651.1854146120002</v>
      </c>
      <c r="J28" s="43">
        <f>PRODUCT(I28*1.053)</f>
        <v>1738.6982415864361</v>
      </c>
      <c r="K28" s="43">
        <f>PRODUCT(J28*1.05)</f>
        <v>1825.6331536657581</v>
      </c>
      <c r="L28" s="43">
        <f>PRODUCT(K28*1.047)</f>
        <v>1911.4379118880486</v>
      </c>
      <c r="M28" s="9"/>
      <c r="N28" s="9"/>
    </row>
    <row r="29" spans="1:14" ht="26.25">
      <c r="A29" s="28"/>
      <c r="B29" s="21" t="s">
        <v>101</v>
      </c>
      <c r="C29" s="55" t="s">
        <v>28</v>
      </c>
      <c r="D29" s="43"/>
      <c r="E29" s="43"/>
      <c r="F29" s="43"/>
      <c r="G29" s="43"/>
      <c r="H29" s="71" t="s">
        <v>137</v>
      </c>
      <c r="I29" s="43"/>
      <c r="J29" s="43"/>
      <c r="K29" s="43"/>
      <c r="L29" s="43"/>
      <c r="M29" s="9"/>
      <c r="N29" s="9"/>
    </row>
    <row r="30" spans="1:14" ht="26.25">
      <c r="A30" s="28"/>
      <c r="B30" s="21" t="s">
        <v>102</v>
      </c>
      <c r="C30" s="55" t="s">
        <v>28</v>
      </c>
      <c r="D30" s="43"/>
      <c r="E30" s="43"/>
      <c r="F30" s="43"/>
      <c r="G30" s="43"/>
      <c r="H30" s="71" t="s">
        <v>137</v>
      </c>
      <c r="I30" s="43"/>
      <c r="J30" s="43"/>
      <c r="K30" s="43"/>
      <c r="L30" s="43"/>
      <c r="M30" s="9"/>
      <c r="N30" s="9"/>
    </row>
    <row r="31" spans="1:14">
      <c r="A31" s="28" t="s">
        <v>58</v>
      </c>
      <c r="B31" s="54" t="s">
        <v>59</v>
      </c>
      <c r="C31" s="7"/>
      <c r="D31" s="88"/>
      <c r="E31" s="89"/>
      <c r="F31" s="89"/>
      <c r="G31" s="89"/>
      <c r="H31" s="89"/>
      <c r="I31" s="89"/>
      <c r="J31" s="89"/>
      <c r="K31" s="89"/>
      <c r="L31" s="89"/>
      <c r="M31" s="9"/>
      <c r="N31" s="9"/>
    </row>
    <row r="32" spans="1:14" ht="26.25">
      <c r="A32" s="28" t="s">
        <v>60</v>
      </c>
      <c r="B32" s="21" t="s">
        <v>61</v>
      </c>
      <c r="C32" s="7" t="s">
        <v>62</v>
      </c>
      <c r="D32" s="37">
        <v>1613.5</v>
      </c>
      <c r="E32" s="37">
        <v>1791.7</v>
      </c>
      <c r="F32" s="75">
        <v>1921.3</v>
      </c>
      <c r="G32" s="75" t="s">
        <v>124</v>
      </c>
      <c r="H32" s="71" t="s">
        <v>137</v>
      </c>
      <c r="I32" s="75">
        <f>PRODUCT(F32*1.063)</f>
        <v>2042.3418999999999</v>
      </c>
      <c r="J32" s="75">
        <f>PRODUCT(I32*1.048)</f>
        <v>2140.3743112000002</v>
      </c>
      <c r="K32" s="75">
        <f>PRODUCT(J32*1.043)</f>
        <v>2232.4104065816</v>
      </c>
      <c r="L32" s="75">
        <f>PRODUCT(K32*1.04)</f>
        <v>2321.7068228448643</v>
      </c>
      <c r="M32" s="9"/>
      <c r="N32" s="9"/>
    </row>
    <row r="33" spans="1:14" ht="26.25">
      <c r="A33" s="28" t="s">
        <v>63</v>
      </c>
      <c r="B33" s="21" t="s">
        <v>64</v>
      </c>
      <c r="C33" s="7" t="s">
        <v>62</v>
      </c>
      <c r="D33" s="23">
        <v>345.5</v>
      </c>
      <c r="E33" s="23">
        <v>379.61</v>
      </c>
      <c r="F33" s="23">
        <v>386.4</v>
      </c>
      <c r="G33" s="23" t="s">
        <v>116</v>
      </c>
      <c r="H33" s="71" t="s">
        <v>137</v>
      </c>
      <c r="I33" s="23">
        <f>PRODUCT(F33*1.073)</f>
        <v>414.60719999999998</v>
      </c>
      <c r="J33" s="23">
        <f>PRODUCT(I33*1.057)</f>
        <v>438.23981039999995</v>
      </c>
      <c r="K33" s="23">
        <f>PRODUCT(J33*1.056)</f>
        <v>462.78123978239995</v>
      </c>
      <c r="L33" s="23">
        <f>PRODUCT(K33*1.054)</f>
        <v>487.77142673064958</v>
      </c>
      <c r="M33" s="9"/>
      <c r="N33" s="9"/>
    </row>
    <row r="34" spans="1:14" ht="26.25">
      <c r="A34" s="28" t="s">
        <v>65</v>
      </c>
      <c r="B34" s="21" t="s">
        <v>66</v>
      </c>
      <c r="C34" s="7" t="s">
        <v>62</v>
      </c>
      <c r="D34" s="23">
        <v>844.4</v>
      </c>
      <c r="E34" s="23">
        <v>890.8</v>
      </c>
      <c r="F34" s="23">
        <f>PRODUCT(E34*1.074)</f>
        <v>956.7192</v>
      </c>
      <c r="G34" s="23" t="s">
        <v>117</v>
      </c>
      <c r="H34" s="71" t="s">
        <v>137</v>
      </c>
      <c r="I34" s="23">
        <f>PRODUCT(F34*1.073)</f>
        <v>1026.5597015999999</v>
      </c>
      <c r="J34" s="23">
        <f>PRODUCT(I34*1.057)</f>
        <v>1085.0736045911999</v>
      </c>
      <c r="K34" s="23">
        <f>PRODUCT(J34*1.056)</f>
        <v>1145.8377264483072</v>
      </c>
      <c r="L34" s="23">
        <f>PRODUCT(K34*1.054)</f>
        <v>1207.7129636765158</v>
      </c>
      <c r="M34" s="9"/>
      <c r="N34" s="9"/>
    </row>
    <row r="35" spans="1:14">
      <c r="A35" s="28" t="s">
        <v>67</v>
      </c>
      <c r="B35" s="54" t="s">
        <v>68</v>
      </c>
      <c r="C35" s="7"/>
      <c r="D35" s="61"/>
      <c r="E35" s="66"/>
      <c r="F35" s="66"/>
      <c r="G35" s="66"/>
      <c r="H35" s="66"/>
      <c r="I35" s="66"/>
      <c r="J35" s="66"/>
      <c r="K35" s="66"/>
      <c r="L35" s="56"/>
      <c r="M35" s="9"/>
      <c r="N35" s="9"/>
    </row>
    <row r="36" spans="1:14">
      <c r="A36" s="28" t="s">
        <v>69</v>
      </c>
      <c r="B36" s="55" t="s">
        <v>70</v>
      </c>
      <c r="C36" s="7" t="s">
        <v>71</v>
      </c>
      <c r="D36" s="44">
        <v>2057</v>
      </c>
      <c r="E36" s="44">
        <v>2118</v>
      </c>
      <c r="F36" s="44">
        <v>2168</v>
      </c>
      <c r="G36" s="44" t="s">
        <v>125</v>
      </c>
      <c r="H36" s="83">
        <v>2168</v>
      </c>
      <c r="I36" s="83">
        <v>2168</v>
      </c>
      <c r="J36" s="44">
        <v>2149</v>
      </c>
      <c r="K36" s="44">
        <v>2133</v>
      </c>
      <c r="L36" s="44">
        <v>2128</v>
      </c>
      <c r="M36" s="9"/>
      <c r="N36" s="9"/>
    </row>
    <row r="37" spans="1:14" ht="60">
      <c r="A37" s="28" t="s">
        <v>72</v>
      </c>
      <c r="B37" s="55" t="s">
        <v>73</v>
      </c>
      <c r="C37" s="7" t="s">
        <v>71</v>
      </c>
      <c r="D37" s="44">
        <v>1585</v>
      </c>
      <c r="E37" s="44">
        <v>1603</v>
      </c>
      <c r="F37" s="44">
        <v>1642</v>
      </c>
      <c r="G37" s="44" t="s">
        <v>126</v>
      </c>
      <c r="H37" s="83">
        <v>1684</v>
      </c>
      <c r="I37" s="83">
        <v>1711</v>
      </c>
      <c r="J37" s="44">
        <v>1977</v>
      </c>
      <c r="K37" s="44">
        <v>1977</v>
      </c>
      <c r="L37" s="44">
        <v>1977</v>
      </c>
      <c r="M37" s="9"/>
      <c r="N37" s="9"/>
    </row>
    <row r="38" spans="1:14" ht="45">
      <c r="A38" s="28" t="s">
        <v>74</v>
      </c>
      <c r="B38" s="55" t="s">
        <v>75</v>
      </c>
      <c r="C38" s="7" t="s">
        <v>71</v>
      </c>
      <c r="D38" s="44">
        <v>635</v>
      </c>
      <c r="E38" s="44">
        <v>650</v>
      </c>
      <c r="F38" s="44">
        <v>728</v>
      </c>
      <c r="G38" s="44" t="s">
        <v>127</v>
      </c>
      <c r="H38" s="83">
        <v>640</v>
      </c>
      <c r="I38" s="83">
        <v>650</v>
      </c>
      <c r="J38" s="44">
        <v>375</v>
      </c>
      <c r="K38" s="44">
        <v>360</v>
      </c>
      <c r="L38" s="44">
        <v>355</v>
      </c>
      <c r="M38" s="9"/>
      <c r="N38" s="9"/>
    </row>
    <row r="39" spans="1:14" ht="30">
      <c r="A39" s="28" t="s">
        <v>76</v>
      </c>
      <c r="B39" s="55" t="s">
        <v>77</v>
      </c>
      <c r="C39" s="7" t="s">
        <v>71</v>
      </c>
      <c r="D39" s="48">
        <v>2851</v>
      </c>
      <c r="E39" s="44">
        <v>2945</v>
      </c>
      <c r="F39" s="44">
        <v>2998</v>
      </c>
      <c r="G39" s="44" t="s">
        <v>128</v>
      </c>
      <c r="H39" s="83">
        <v>3023</v>
      </c>
      <c r="I39" s="83">
        <v>3050</v>
      </c>
      <c r="J39" s="44">
        <v>3122</v>
      </c>
      <c r="K39" s="44">
        <v>3218</v>
      </c>
      <c r="L39" s="44">
        <v>3322</v>
      </c>
      <c r="M39" s="9"/>
      <c r="N39" s="9"/>
    </row>
    <row r="40" spans="1:14" ht="45">
      <c r="A40" s="28" t="s">
        <v>78</v>
      </c>
      <c r="B40" s="55" t="s">
        <v>79</v>
      </c>
      <c r="C40" s="7" t="s">
        <v>71</v>
      </c>
      <c r="D40" s="44">
        <v>314</v>
      </c>
      <c r="E40" s="44">
        <v>321</v>
      </c>
      <c r="F40" s="44">
        <v>304</v>
      </c>
      <c r="G40" s="44" t="s">
        <v>129</v>
      </c>
      <c r="H40" s="83">
        <v>273</v>
      </c>
      <c r="I40" s="83">
        <v>285</v>
      </c>
      <c r="J40" s="44">
        <v>340</v>
      </c>
      <c r="K40" s="44">
        <v>420</v>
      </c>
      <c r="L40" s="44">
        <v>500</v>
      </c>
      <c r="M40" s="9"/>
      <c r="N40" s="9"/>
    </row>
    <row r="41" spans="1:14">
      <c r="A41" s="28" t="s">
        <v>80</v>
      </c>
      <c r="B41" s="54" t="s">
        <v>81</v>
      </c>
      <c r="C41" s="7"/>
      <c r="D41" s="59"/>
      <c r="E41" s="60"/>
      <c r="F41" s="60"/>
      <c r="G41" s="60"/>
      <c r="H41" s="60"/>
      <c r="I41" s="60"/>
      <c r="J41" s="60"/>
      <c r="K41" s="60"/>
      <c r="L41" s="52"/>
      <c r="M41" s="9"/>
      <c r="N41" s="9"/>
    </row>
    <row r="42" spans="1:14">
      <c r="A42" s="28" t="s">
        <v>82</v>
      </c>
      <c r="B42" s="21" t="s">
        <v>83</v>
      </c>
      <c r="C42" s="7" t="s">
        <v>84</v>
      </c>
      <c r="D42" s="41">
        <f>42.6572*100</f>
        <v>4265.72</v>
      </c>
      <c r="E42" s="41">
        <f>42.6572*100</f>
        <v>4265.72</v>
      </c>
      <c r="F42" s="41">
        <f t="shared" ref="F42:L42" si="9">42.6572*100</f>
        <v>4265.72</v>
      </c>
      <c r="G42" s="41">
        <v>4265.7</v>
      </c>
      <c r="H42" s="37">
        <v>4265.7</v>
      </c>
      <c r="I42" s="37">
        <f t="shared" si="9"/>
        <v>4265.72</v>
      </c>
      <c r="J42" s="41">
        <f t="shared" si="9"/>
        <v>4265.72</v>
      </c>
      <c r="K42" s="41">
        <f t="shared" si="9"/>
        <v>4265.72</v>
      </c>
      <c r="L42" s="41">
        <f t="shared" si="9"/>
        <v>4265.72</v>
      </c>
      <c r="M42" s="9"/>
      <c r="N42" s="9"/>
    </row>
    <row r="43" spans="1:14" ht="30">
      <c r="A43" s="28" t="s">
        <v>85</v>
      </c>
      <c r="B43" s="55" t="s">
        <v>88</v>
      </c>
      <c r="C43" s="7" t="s">
        <v>89</v>
      </c>
      <c r="D43" s="23">
        <v>22.2</v>
      </c>
      <c r="E43" s="23">
        <v>22.5</v>
      </c>
      <c r="F43" s="23">
        <v>22.8</v>
      </c>
      <c r="G43" s="23" t="s">
        <v>118</v>
      </c>
      <c r="H43" s="23" t="s">
        <v>118</v>
      </c>
      <c r="I43" s="23">
        <v>23.2</v>
      </c>
      <c r="J43" s="23">
        <v>23.6</v>
      </c>
      <c r="K43" s="23">
        <v>23.9</v>
      </c>
      <c r="L43" s="23">
        <v>24.2</v>
      </c>
      <c r="M43" s="9"/>
      <c r="N43" s="9"/>
    </row>
    <row r="44" spans="1:14" ht="30">
      <c r="A44" s="28" t="s">
        <v>87</v>
      </c>
      <c r="B44" s="21" t="s">
        <v>86</v>
      </c>
      <c r="C44" s="7" t="s">
        <v>138</v>
      </c>
      <c r="D44" s="85">
        <f>2.809</f>
        <v>2.8090000000000002</v>
      </c>
      <c r="E44" s="85">
        <f>2.967</f>
        <v>2.9670000000000001</v>
      </c>
      <c r="F44" s="86">
        <f>4.32</f>
        <v>4.32</v>
      </c>
      <c r="G44" s="86" t="s">
        <v>136</v>
      </c>
      <c r="H44" s="86" t="s">
        <v>139</v>
      </c>
      <c r="I44" s="85">
        <f>F44*1.05</f>
        <v>4.5360000000000005</v>
      </c>
      <c r="J44" s="87">
        <f>I44*1.05</f>
        <v>4.7628000000000004</v>
      </c>
      <c r="K44" s="87">
        <f>J44*1.05</f>
        <v>5.0009400000000008</v>
      </c>
      <c r="L44" s="86">
        <f>K44*1.05</f>
        <v>5.2509870000000012</v>
      </c>
      <c r="M44" s="9"/>
      <c r="N44" s="9"/>
    </row>
    <row r="45" spans="1:14">
      <c r="A45" s="32"/>
      <c r="B45" s="8" t="s">
        <v>109</v>
      </c>
      <c r="C45" s="12"/>
      <c r="D45" s="49"/>
      <c r="E45" s="50"/>
      <c r="F45" s="45"/>
      <c r="G45" s="45"/>
      <c r="H45" s="45"/>
      <c r="I45" s="50"/>
      <c r="J45" s="50"/>
      <c r="K45" s="50"/>
      <c r="L45" s="50"/>
      <c r="M45" s="9"/>
      <c r="N45" s="9"/>
    </row>
    <row r="46" spans="1:14">
      <c r="A46" s="32"/>
      <c r="B46" s="8" t="s">
        <v>112</v>
      </c>
      <c r="C46" s="12"/>
      <c r="D46" s="49"/>
      <c r="E46" s="50"/>
      <c r="F46" s="45"/>
      <c r="G46" s="45"/>
      <c r="H46" s="45"/>
      <c r="I46" s="50"/>
      <c r="J46" s="50"/>
      <c r="K46" s="50"/>
      <c r="L46" s="50"/>
      <c r="M46" s="9"/>
      <c r="N46" s="9"/>
    </row>
    <row r="47" spans="1:14">
      <c r="A47" s="32"/>
      <c r="B47" s="8" t="s">
        <v>133</v>
      </c>
      <c r="C47" s="12"/>
      <c r="D47" s="49"/>
      <c r="E47" s="50"/>
      <c r="F47" s="45"/>
      <c r="G47" s="45"/>
      <c r="H47" s="45"/>
      <c r="I47" s="50"/>
      <c r="J47" s="50"/>
      <c r="K47" s="50"/>
      <c r="L47" s="50"/>
      <c r="M47" s="9"/>
      <c r="N47" s="9"/>
    </row>
    <row r="48" spans="1:14">
      <c r="A48" s="90"/>
      <c r="B48" s="91"/>
      <c r="C48" s="11"/>
      <c r="D48" s="51"/>
      <c r="M48" s="9"/>
      <c r="N48" s="9"/>
    </row>
    <row r="49" spans="1:50" hidden="1">
      <c r="A49" s="27" t="s">
        <v>90</v>
      </c>
    </row>
    <row r="50" spans="1:50" ht="30" hidden="1">
      <c r="B50" s="13" t="s">
        <v>91</v>
      </c>
    </row>
    <row r="51" spans="1:50" hidden="1">
      <c r="B51" s="14" t="s">
        <v>92</v>
      </c>
    </row>
    <row r="52" spans="1:50" ht="45" hidden="1">
      <c r="B52" s="15" t="s">
        <v>93</v>
      </c>
    </row>
    <row r="53" spans="1:50" ht="30" hidden="1">
      <c r="B53" s="16" t="s">
        <v>94</v>
      </c>
    </row>
    <row r="54" spans="1:50" ht="28.5" hidden="1" customHeight="1">
      <c r="B54" s="17" t="s">
        <v>95</v>
      </c>
    </row>
    <row r="55" spans="1:50" s="2" customFormat="1">
      <c r="A55" s="27"/>
      <c r="B55" s="18"/>
      <c r="C55" s="19"/>
      <c r="D55" s="46"/>
      <c r="E55" s="46"/>
      <c r="F55" s="46"/>
      <c r="G55" s="46"/>
      <c r="H55" s="84"/>
      <c r="I55" s="84"/>
      <c r="J55" s="33"/>
      <c r="K55" s="33"/>
      <c r="L55" s="33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</sheetData>
  <mergeCells count="7">
    <mergeCell ref="A48:B48"/>
    <mergeCell ref="A1:K1"/>
    <mergeCell ref="J2:K2"/>
    <mergeCell ref="A3:A4"/>
    <mergeCell ref="B3:B4"/>
    <mergeCell ref="C3:C4"/>
    <mergeCell ref="J3:L3"/>
  </mergeCells>
  <pageMargins left="0.23622047244094491" right="0.15748031496062992" top="0.39370078740157483" bottom="0.39370078740157483" header="0.23622047244094491" footer="0.23622047244094491"/>
  <pageSetup paperSize="9" scale="89" orientation="landscape" r:id="rId1"/>
  <headerFooter alignWithMargins="0"/>
  <rowBreaks count="2" manualBreakCount="2">
    <brk id="21" max="18" man="1"/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на 2015-2017 за 9мес 14</vt:lpstr>
      <vt:lpstr>'прогноз на 2015-2017 за 9мес 14'!Заголовки_для_печати</vt:lpstr>
      <vt:lpstr>'прогноз на 2015-2017 за 9мес 14'!Область_печати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Ekonom7</dc:creator>
  <cp:lastModifiedBy>Ekonom7</cp:lastModifiedBy>
  <cp:lastPrinted>2014-10-29T12:25:11Z</cp:lastPrinted>
  <dcterms:created xsi:type="dcterms:W3CDTF">2014-05-19T10:52:36Z</dcterms:created>
  <dcterms:modified xsi:type="dcterms:W3CDTF">2014-12-24T14:17:12Z</dcterms:modified>
</cp:coreProperties>
</file>