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395" windowHeight="10545" tabRatio="972"/>
  </bookViews>
  <sheets>
    <sheet name="СВОД" sheetId="12" r:id="rId1"/>
    <sheet name="ООО &quot;Базис&quot;" sheetId="1" r:id="rId2"/>
    <sheet name="ООО &quot;Ненецкая УК&quot;" sheetId="4" r:id="rId3"/>
    <sheet name="ООО &quot;Коми-Сервис&quot;" sheetId="5" r:id="rId4"/>
    <sheet name="ООО &quot;Наш дом&quot;" sheetId="6" r:id="rId5"/>
    <sheet name="ООО УК &quot;Уютный дом&quot;" sheetId="7" r:id="rId6"/>
    <sheet name="ООО УК &quot;Нарьян-Марстрой&quot;" sheetId="8" r:id="rId7"/>
    <sheet name="ООО УК &quot;ПОКиТС&quot;" sheetId="9" r:id="rId8"/>
    <sheet name="Нарьян-Марское МУ ПОК и ТС" sheetId="10" r:id="rId9"/>
    <sheet name="ООО &quot;Аврора&quot;" sheetId="11" r:id="rId10"/>
    <sheet name="ТСЖ &quot;Дворянское гнездо&quot;" sheetId="2" r:id="rId11"/>
    <sheet name="Лист3" sheetId="3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8" hidden="1">'Нарьян-Марское МУ ПОК и ТС'!$C$5:$D$32</definedName>
    <definedName name="_xlnm._FilterDatabase" localSheetId="1" hidden="1">'ООО "Базис"'!$C$7:$R$48</definedName>
    <definedName name="_xlnm.Print_Area" localSheetId="9">'ООО "Аврора"'!$A$1:$S$33</definedName>
    <definedName name="_xlnm.Print_Area" localSheetId="7">'ООО УК "ПОКиТС"'!$A$1:$R$6</definedName>
  </definedNames>
  <calcPr calcId="125725"/>
</workbook>
</file>

<file path=xl/calcChain.xml><?xml version="1.0" encoding="utf-8"?>
<calcChain xmlns="http://schemas.openxmlformats.org/spreadsheetml/2006/main">
  <c r="E13" i="12"/>
  <c r="D11"/>
  <c r="D10"/>
  <c r="F10" s="1"/>
  <c r="D9"/>
  <c r="D8"/>
  <c r="D7"/>
  <c r="F7" s="1"/>
  <c r="D6"/>
  <c r="D5"/>
  <c r="D4"/>
  <c r="F9" i="2"/>
  <c r="F28" i="11"/>
  <c r="F32" i="10"/>
  <c r="F43" i="8"/>
  <c r="F11" i="7"/>
  <c r="F12" i="6"/>
  <c r="F23" i="5"/>
  <c r="F33" i="4"/>
  <c r="F48" i="1"/>
  <c r="F186" i="9"/>
  <c r="D3" i="12" s="1"/>
  <c r="T28" i="11"/>
  <c r="T32" i="10"/>
  <c r="T186" i="9"/>
  <c r="T43" i="8"/>
  <c r="T11" i="7"/>
  <c r="T12" i="6"/>
  <c r="T23" i="5"/>
  <c r="T33" i="4"/>
  <c r="T48" i="1"/>
  <c r="E11" i="12"/>
  <c r="F11" s="1"/>
  <c r="E9"/>
  <c r="F9" s="1"/>
  <c r="E3"/>
  <c r="E4"/>
  <c r="F4" s="1"/>
  <c r="E10"/>
  <c r="E6"/>
  <c r="F6" s="1"/>
  <c r="E8"/>
  <c r="F8" s="1"/>
  <c r="E7"/>
  <c r="E5"/>
  <c r="C11"/>
  <c r="C9"/>
  <c r="C3"/>
  <c r="C4"/>
  <c r="C10"/>
  <c r="C6"/>
  <c r="C8"/>
  <c r="C7"/>
  <c r="C5"/>
  <c r="A18" i="9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7"/>
  <c r="A9"/>
  <c r="A10" s="1"/>
  <c r="A11" s="1"/>
  <c r="A12" s="1"/>
  <c r="A13" s="1"/>
  <c r="A14" s="1"/>
  <c r="A15" s="1"/>
  <c r="A16" s="1"/>
  <c r="A8"/>
  <c r="P170"/>
  <c r="M170"/>
  <c r="J170"/>
  <c r="G170"/>
  <c r="F170"/>
  <c r="S170" s="1"/>
  <c r="P40"/>
  <c r="M40"/>
  <c r="J40"/>
  <c r="G40"/>
  <c r="F40"/>
  <c r="P123"/>
  <c r="M123"/>
  <c r="J123"/>
  <c r="G123"/>
  <c r="F123"/>
  <c r="S123" s="1"/>
  <c r="P111"/>
  <c r="M111"/>
  <c r="J111"/>
  <c r="G111"/>
  <c r="F111"/>
  <c r="S111" s="1"/>
  <c r="P166"/>
  <c r="M166"/>
  <c r="J166"/>
  <c r="G166"/>
  <c r="F166"/>
  <c r="S166" s="1"/>
  <c r="R47"/>
  <c r="Q47"/>
  <c r="O47"/>
  <c r="N47"/>
  <c r="N24"/>
  <c r="L47"/>
  <c r="K47"/>
  <c r="I47"/>
  <c r="H47"/>
  <c r="R59"/>
  <c r="Q59"/>
  <c r="O59"/>
  <c r="N59"/>
  <c r="L59"/>
  <c r="K59"/>
  <c r="I59"/>
  <c r="H59"/>
  <c r="R63"/>
  <c r="Q63"/>
  <c r="O63"/>
  <c r="N63"/>
  <c r="L63"/>
  <c r="K63"/>
  <c r="I63"/>
  <c r="H63"/>
  <c r="R131"/>
  <c r="Q131"/>
  <c r="O131"/>
  <c r="N131"/>
  <c r="L131"/>
  <c r="K131"/>
  <c r="I131"/>
  <c r="H131"/>
  <c r="R76"/>
  <c r="Q76"/>
  <c r="O76"/>
  <c r="N76"/>
  <c r="L76"/>
  <c r="K76"/>
  <c r="I76"/>
  <c r="H76"/>
  <c r="R16"/>
  <c r="Q16"/>
  <c r="O16"/>
  <c r="N16"/>
  <c r="L16"/>
  <c r="K16"/>
  <c r="I16"/>
  <c r="H16"/>
  <c r="R105"/>
  <c r="Q105"/>
  <c r="O105"/>
  <c r="N105"/>
  <c r="L105"/>
  <c r="K105"/>
  <c r="I105"/>
  <c r="H105"/>
  <c r="R121"/>
  <c r="Q121"/>
  <c r="O121"/>
  <c r="N121"/>
  <c r="L121"/>
  <c r="K121"/>
  <c r="I121"/>
  <c r="H121"/>
  <c r="R171"/>
  <c r="Q171"/>
  <c r="O171"/>
  <c r="N171"/>
  <c r="L171"/>
  <c r="K171"/>
  <c r="I171"/>
  <c r="H171"/>
  <c r="R61"/>
  <c r="Q61"/>
  <c r="O61"/>
  <c r="N61"/>
  <c r="L61"/>
  <c r="K61"/>
  <c r="I61"/>
  <c r="H61"/>
  <c r="R91"/>
  <c r="Q91"/>
  <c r="O91"/>
  <c r="N91"/>
  <c r="L91"/>
  <c r="K91"/>
  <c r="I91"/>
  <c r="H91"/>
  <c r="G91" s="1"/>
  <c r="S8" i="2"/>
  <c r="P8"/>
  <c r="P9" s="1"/>
  <c r="R8"/>
  <c r="Q8"/>
  <c r="H9"/>
  <c r="I9"/>
  <c r="K9"/>
  <c r="L9"/>
  <c r="Q9"/>
  <c r="R9"/>
  <c r="O8"/>
  <c r="O9" s="1"/>
  <c r="N8"/>
  <c r="N9" s="1"/>
  <c r="J8"/>
  <c r="J9" s="1"/>
  <c r="G8"/>
  <c r="G9" s="1"/>
  <c r="F5" i="12" l="1"/>
  <c r="C13"/>
  <c r="F3"/>
  <c r="S40" i="9"/>
  <c r="R186"/>
  <c r="Q186"/>
  <c r="M8" i="2"/>
  <c r="M9" s="1"/>
  <c r="Q19" i="4"/>
  <c r="N19"/>
  <c r="K19"/>
  <c r="H19"/>
  <c r="K23"/>
  <c r="H23"/>
  <c r="P12" i="11"/>
  <c r="S12" s="1"/>
  <c r="P24"/>
  <c r="S24" s="1"/>
  <c r="P8"/>
  <c r="S8" s="1"/>
  <c r="P18"/>
  <c r="S18" s="1"/>
  <c r="P15"/>
  <c r="S15" s="1"/>
  <c r="P7"/>
  <c r="S7" s="1"/>
  <c r="P13"/>
  <c r="S13" s="1"/>
  <c r="P25"/>
  <c r="S25" s="1"/>
  <c r="P9"/>
  <c r="S9" s="1"/>
  <c r="P21"/>
  <c r="S21" s="1"/>
  <c r="P26"/>
  <c r="S26" s="1"/>
  <c r="P20"/>
  <c r="S20" s="1"/>
  <c r="P27"/>
  <c r="S27" s="1"/>
  <c r="P23"/>
  <c r="S23" s="1"/>
  <c r="P22"/>
  <c r="S22" s="1"/>
  <c r="P17"/>
  <c r="S17" s="1"/>
  <c r="P14"/>
  <c r="S14" s="1"/>
  <c r="P16"/>
  <c r="S16" s="1"/>
  <c r="P11"/>
  <c r="S11" s="1"/>
  <c r="P19"/>
  <c r="S19" s="1"/>
  <c r="P10"/>
  <c r="S10" s="1"/>
  <c r="F71" i="9" l="1"/>
  <c r="F151"/>
  <c r="F29"/>
  <c r="F169"/>
  <c r="F81"/>
  <c r="F141"/>
  <c r="F161"/>
  <c r="F77"/>
  <c r="F127"/>
  <c r="F36"/>
  <c r="F147"/>
  <c r="F118"/>
  <c r="F28"/>
  <c r="F26"/>
  <c r="F155"/>
  <c r="F56"/>
  <c r="F20"/>
  <c r="F176"/>
  <c r="F48"/>
  <c r="F46"/>
  <c r="F44"/>
  <c r="F45"/>
  <c r="F145"/>
  <c r="F157"/>
  <c r="F34"/>
  <c r="F159"/>
  <c r="F116"/>
  <c r="F57"/>
  <c r="F137"/>
  <c r="F89"/>
  <c r="F12"/>
  <c r="F167"/>
  <c r="F125"/>
  <c r="F178"/>
  <c r="F110"/>
  <c r="F104"/>
  <c r="F72"/>
  <c r="F102"/>
  <c r="F180"/>
  <c r="F85"/>
  <c r="F119"/>
  <c r="F164"/>
  <c r="F181"/>
  <c r="F144"/>
  <c r="F18"/>
  <c r="F129"/>
  <c r="F165"/>
  <c r="F9"/>
  <c r="F84"/>
  <c r="F108"/>
  <c r="F25"/>
  <c r="F21"/>
  <c r="F64"/>
  <c r="F13"/>
  <c r="F132"/>
  <c r="F19"/>
  <c r="F60"/>
  <c r="F134"/>
  <c r="F15"/>
  <c r="F54"/>
  <c r="F33"/>
  <c r="F39"/>
  <c r="F130"/>
  <c r="F154"/>
  <c r="F66"/>
  <c r="F92"/>
  <c r="F174"/>
  <c r="F70"/>
  <c r="F62"/>
  <c r="F184"/>
  <c r="F136"/>
  <c r="F80"/>
  <c r="F156"/>
  <c r="F10"/>
  <c r="F153"/>
  <c r="F83"/>
  <c r="F67"/>
  <c r="F97"/>
  <c r="F142"/>
  <c r="F8"/>
  <c r="F30"/>
  <c r="F172"/>
  <c r="F146"/>
  <c r="F51"/>
  <c r="F38"/>
  <c r="F112"/>
  <c r="F53"/>
  <c r="F24"/>
  <c r="F47"/>
  <c r="F49"/>
  <c r="F182"/>
  <c r="F86"/>
  <c r="F82"/>
  <c r="F17"/>
  <c r="F113"/>
  <c r="F149"/>
  <c r="F124"/>
  <c r="F11"/>
  <c r="F37"/>
  <c r="F131"/>
  <c r="F59"/>
  <c r="F63"/>
  <c r="F126"/>
  <c r="F69"/>
  <c r="F177"/>
  <c r="F139"/>
  <c r="F88"/>
  <c r="F179"/>
  <c r="F35"/>
  <c r="F120"/>
  <c r="F152"/>
  <c r="F121"/>
  <c r="F91"/>
  <c r="F171"/>
  <c r="F105"/>
  <c r="F61"/>
  <c r="F109"/>
  <c r="F94"/>
  <c r="F78"/>
  <c r="F58"/>
  <c r="F114"/>
  <c r="F75"/>
  <c r="F107"/>
  <c r="F31"/>
  <c r="F160"/>
  <c r="F95"/>
  <c r="F55"/>
  <c r="F183"/>
  <c r="F68"/>
  <c r="F148"/>
  <c r="F87"/>
  <c r="F175"/>
  <c r="F135"/>
  <c r="F96"/>
  <c r="F52"/>
  <c r="F73"/>
  <c r="F42"/>
  <c r="F128"/>
  <c r="F27"/>
  <c r="F150"/>
  <c r="F117"/>
  <c r="F22"/>
  <c r="F133"/>
  <c r="F138"/>
  <c r="F7"/>
  <c r="F14"/>
  <c r="F50"/>
  <c r="F32"/>
  <c r="F65"/>
  <c r="F100"/>
  <c r="F163"/>
  <c r="F90"/>
  <c r="F76"/>
  <c r="F16"/>
  <c r="F185"/>
  <c r="F162"/>
  <c r="F99"/>
  <c r="F106"/>
  <c r="F41"/>
  <c r="F158"/>
  <c r="F122"/>
  <c r="F93"/>
  <c r="F79"/>
  <c r="F74"/>
  <c r="F23"/>
  <c r="F43"/>
  <c r="F143"/>
  <c r="F103"/>
  <c r="F115"/>
  <c r="F168"/>
  <c r="F98"/>
  <c r="F101"/>
  <c r="F29" i="10" l="1"/>
  <c r="F15"/>
  <c r="F31"/>
  <c r="F26"/>
  <c r="F7"/>
  <c r="F8"/>
  <c r="F14"/>
  <c r="F16"/>
  <c r="F10"/>
  <c r="F11"/>
  <c r="F20"/>
  <c r="F22"/>
  <c r="F23"/>
  <c r="F9"/>
  <c r="F19"/>
  <c r="F12"/>
  <c r="F13"/>
  <c r="F17"/>
  <c r="F27"/>
  <c r="F21"/>
  <c r="F25"/>
  <c r="F28"/>
  <c r="F18"/>
  <c r="F24"/>
  <c r="F30"/>
  <c r="P29"/>
  <c r="P15"/>
  <c r="R26"/>
  <c r="P7"/>
  <c r="S7" s="1"/>
  <c r="P8"/>
  <c r="S8" s="1"/>
  <c r="P14"/>
  <c r="S14" s="1"/>
  <c r="P16"/>
  <c r="S16" s="1"/>
  <c r="P10"/>
  <c r="S10" s="1"/>
  <c r="R11"/>
  <c r="P20"/>
  <c r="S20" s="1"/>
  <c r="R22"/>
  <c r="R23"/>
  <c r="P9"/>
  <c r="S9" s="1"/>
  <c r="P19"/>
  <c r="S19" s="1"/>
  <c r="P12"/>
  <c r="S12" s="1"/>
  <c r="P13"/>
  <c r="S13" s="1"/>
  <c r="P17"/>
  <c r="S17" s="1"/>
  <c r="R27"/>
  <c r="R21"/>
  <c r="P25"/>
  <c r="S25" s="1"/>
  <c r="R28"/>
  <c r="R18"/>
  <c r="R24"/>
  <c r="R30"/>
  <c r="Q15"/>
  <c r="Q31"/>
  <c r="Q26"/>
  <c r="Q7"/>
  <c r="Q8"/>
  <c r="Q14"/>
  <c r="Q16"/>
  <c r="Q10"/>
  <c r="Q11"/>
  <c r="Q20"/>
  <c r="Q22"/>
  <c r="Q23"/>
  <c r="Q9"/>
  <c r="Q19"/>
  <c r="Q12"/>
  <c r="Q13"/>
  <c r="Q17"/>
  <c r="Q27"/>
  <c r="Q21"/>
  <c r="Q25"/>
  <c r="Q28"/>
  <c r="Q18"/>
  <c r="Q24"/>
  <c r="Q30"/>
  <c r="N29"/>
  <c r="M29"/>
  <c r="K29"/>
  <c r="J29"/>
  <c r="I29"/>
  <c r="H29"/>
  <c r="N15"/>
  <c r="M15"/>
  <c r="L15"/>
  <c r="K15"/>
  <c r="J15"/>
  <c r="I15"/>
  <c r="H15"/>
  <c r="N31"/>
  <c r="K31"/>
  <c r="J31"/>
  <c r="I31"/>
  <c r="G31" s="1"/>
  <c r="H31"/>
  <c r="O26"/>
  <c r="N26"/>
  <c r="L26"/>
  <c r="J26" s="1"/>
  <c r="K26"/>
  <c r="I26"/>
  <c r="G26" s="1"/>
  <c r="H26"/>
  <c r="N7"/>
  <c r="M7"/>
  <c r="K7"/>
  <c r="J7"/>
  <c r="I7"/>
  <c r="G7" s="1"/>
  <c r="H7"/>
  <c r="N8"/>
  <c r="M8"/>
  <c r="K8"/>
  <c r="J8"/>
  <c r="I8"/>
  <c r="H8"/>
  <c r="N14"/>
  <c r="M14"/>
  <c r="K14"/>
  <c r="J14"/>
  <c r="L14" s="1"/>
  <c r="I14"/>
  <c r="H14"/>
  <c r="N16"/>
  <c r="M16"/>
  <c r="K16"/>
  <c r="J16"/>
  <c r="I16"/>
  <c r="H16"/>
  <c r="N10"/>
  <c r="M10"/>
  <c r="O10" s="1"/>
  <c r="K10"/>
  <c r="J10"/>
  <c r="L10" s="1"/>
  <c r="I10"/>
  <c r="H10"/>
  <c r="O11"/>
  <c r="N11"/>
  <c r="L11"/>
  <c r="K11"/>
  <c r="I11"/>
  <c r="H11"/>
  <c r="N20"/>
  <c r="M20"/>
  <c r="K20"/>
  <c r="J20"/>
  <c r="L20" s="1"/>
  <c r="I20"/>
  <c r="H20"/>
  <c r="O22"/>
  <c r="N22"/>
  <c r="L22"/>
  <c r="K22"/>
  <c r="I22"/>
  <c r="H22"/>
  <c r="O23"/>
  <c r="N23"/>
  <c r="L23"/>
  <c r="K23"/>
  <c r="I23"/>
  <c r="H23"/>
  <c r="N9"/>
  <c r="M9"/>
  <c r="O9" s="1"/>
  <c r="K9"/>
  <c r="J9"/>
  <c r="I9"/>
  <c r="H9"/>
  <c r="N19"/>
  <c r="M19"/>
  <c r="K19"/>
  <c r="J19"/>
  <c r="L19" s="1"/>
  <c r="I19"/>
  <c r="H19"/>
  <c r="N12"/>
  <c r="M12"/>
  <c r="K12"/>
  <c r="J12"/>
  <c r="I12"/>
  <c r="H12"/>
  <c r="N13"/>
  <c r="M13"/>
  <c r="O13" s="1"/>
  <c r="K13"/>
  <c r="J13"/>
  <c r="I13"/>
  <c r="H13"/>
  <c r="N17"/>
  <c r="M17"/>
  <c r="O17" s="1"/>
  <c r="K17"/>
  <c r="J17"/>
  <c r="I17"/>
  <c r="H17"/>
  <c r="O27"/>
  <c r="M27" s="1"/>
  <c r="N27"/>
  <c r="L27"/>
  <c r="K27"/>
  <c r="I27"/>
  <c r="G27" s="1"/>
  <c r="H27"/>
  <c r="O21"/>
  <c r="N21"/>
  <c r="L21"/>
  <c r="J21" s="1"/>
  <c r="K21"/>
  <c r="I21"/>
  <c r="G21" s="1"/>
  <c r="H21"/>
  <c r="N25"/>
  <c r="M25"/>
  <c r="K25"/>
  <c r="J25"/>
  <c r="I25"/>
  <c r="H25"/>
  <c r="O28"/>
  <c r="M28" s="1"/>
  <c r="N28"/>
  <c r="L28"/>
  <c r="J28" s="1"/>
  <c r="K28"/>
  <c r="I28"/>
  <c r="H28"/>
  <c r="O18"/>
  <c r="M18" s="1"/>
  <c r="N18"/>
  <c r="L18"/>
  <c r="K18"/>
  <c r="I18"/>
  <c r="G18" s="1"/>
  <c r="H18"/>
  <c r="O24"/>
  <c r="N24"/>
  <c r="L24"/>
  <c r="J24" s="1"/>
  <c r="K24"/>
  <c r="I24"/>
  <c r="G24" s="1"/>
  <c r="H24"/>
  <c r="O30"/>
  <c r="M30" s="1"/>
  <c r="N30"/>
  <c r="L30"/>
  <c r="K30"/>
  <c r="I30"/>
  <c r="G30" s="1"/>
  <c r="H30"/>
  <c r="F11" i="8"/>
  <c r="F16"/>
  <c r="F34"/>
  <c r="F22"/>
  <c r="F26"/>
  <c r="F37"/>
  <c r="F28"/>
  <c r="F31"/>
  <c r="F41"/>
  <c r="F24"/>
  <c r="F29"/>
  <c r="F40"/>
  <c r="F38"/>
  <c r="F27"/>
  <c r="F36"/>
  <c r="F42"/>
  <c r="F23"/>
  <c r="F9"/>
  <c r="F30"/>
  <c r="F21"/>
  <c r="F19"/>
  <c r="F13"/>
  <c r="F10"/>
  <c r="F12"/>
  <c r="F18"/>
  <c r="F17"/>
  <c r="F14"/>
  <c r="F15"/>
  <c r="F8"/>
  <c r="F25"/>
  <c r="F20"/>
  <c r="F39"/>
  <c r="F35"/>
  <c r="F33"/>
  <c r="F32"/>
  <c r="G12" i="10" l="1"/>
  <c r="G16"/>
  <c r="L31"/>
  <c r="O15"/>
  <c r="R29"/>
  <c r="S29"/>
  <c r="G19"/>
  <c r="G23"/>
  <c r="M23"/>
  <c r="J11"/>
  <c r="G10"/>
  <c r="G29"/>
  <c r="O29"/>
  <c r="S15"/>
  <c r="G25"/>
  <c r="G15"/>
  <c r="L13"/>
  <c r="O19"/>
  <c r="L9"/>
  <c r="J22"/>
  <c r="M11"/>
  <c r="O25"/>
  <c r="L17"/>
  <c r="O8"/>
  <c r="M24"/>
  <c r="M21"/>
  <c r="G13"/>
  <c r="G22"/>
  <c r="G14"/>
  <c r="O14"/>
  <c r="L8"/>
  <c r="O7"/>
  <c r="L16"/>
  <c r="M26"/>
  <c r="L29"/>
  <c r="G9"/>
  <c r="M22"/>
  <c r="G8"/>
  <c r="M31"/>
  <c r="O31" s="1"/>
  <c r="P31"/>
  <c r="S31" s="1"/>
  <c r="R25"/>
  <c r="J30"/>
  <c r="L12"/>
  <c r="G11"/>
  <c r="R17"/>
  <c r="L25"/>
  <c r="N32"/>
  <c r="J18"/>
  <c r="G28"/>
  <c r="J27"/>
  <c r="G17"/>
  <c r="O12"/>
  <c r="J23"/>
  <c r="G20"/>
  <c r="O20"/>
  <c r="O16"/>
  <c r="L7"/>
  <c r="Q32"/>
  <c r="K32"/>
  <c r="H32"/>
  <c r="R15"/>
  <c r="P26"/>
  <c r="S26" s="1"/>
  <c r="R7"/>
  <c r="R8"/>
  <c r="R14"/>
  <c r="R16"/>
  <c r="R10"/>
  <c r="P11"/>
  <c r="S11" s="1"/>
  <c r="R20"/>
  <c r="P22"/>
  <c r="S22" s="1"/>
  <c r="P23"/>
  <c r="S23" s="1"/>
  <c r="R9"/>
  <c r="R19"/>
  <c r="R12"/>
  <c r="R13"/>
  <c r="P27"/>
  <c r="S27" s="1"/>
  <c r="P21"/>
  <c r="S21" s="1"/>
  <c r="P28"/>
  <c r="S28" s="1"/>
  <c r="P18"/>
  <c r="S18" s="1"/>
  <c r="P24"/>
  <c r="S24" s="1"/>
  <c r="P30"/>
  <c r="S30" s="1"/>
  <c r="O32" l="1"/>
  <c r="R31"/>
  <c r="R32" s="1"/>
  <c r="M32"/>
  <c r="I32"/>
  <c r="P32"/>
  <c r="J32"/>
  <c r="L32"/>
  <c r="G32"/>
  <c r="Q43" i="8" l="1"/>
  <c r="P71" i="9"/>
  <c r="S71" s="1"/>
  <c r="P151"/>
  <c r="S151" s="1"/>
  <c r="P29"/>
  <c r="S29" s="1"/>
  <c r="P169"/>
  <c r="S169" s="1"/>
  <c r="P81"/>
  <c r="S81" s="1"/>
  <c r="P141"/>
  <c r="S141" s="1"/>
  <c r="P161"/>
  <c r="S161" s="1"/>
  <c r="P77"/>
  <c r="S77" s="1"/>
  <c r="P127"/>
  <c r="S127" s="1"/>
  <c r="P36"/>
  <c r="S36" s="1"/>
  <c r="P147"/>
  <c r="S147" s="1"/>
  <c r="P118"/>
  <c r="S118" s="1"/>
  <c r="P28"/>
  <c r="S28" s="1"/>
  <c r="P26"/>
  <c r="S26" s="1"/>
  <c r="P155"/>
  <c r="S155" s="1"/>
  <c r="P56"/>
  <c r="S56" s="1"/>
  <c r="P20"/>
  <c r="S20" s="1"/>
  <c r="P176"/>
  <c r="S176" s="1"/>
  <c r="P48"/>
  <c r="S48" s="1"/>
  <c r="P46"/>
  <c r="S46" s="1"/>
  <c r="P44"/>
  <c r="S44" s="1"/>
  <c r="P45"/>
  <c r="S45" s="1"/>
  <c r="P145"/>
  <c r="S145" s="1"/>
  <c r="P157"/>
  <c r="S157" s="1"/>
  <c r="P34"/>
  <c r="S34" s="1"/>
  <c r="P159"/>
  <c r="S159" s="1"/>
  <c r="P116"/>
  <c r="S116" s="1"/>
  <c r="P57"/>
  <c r="S57" s="1"/>
  <c r="P137"/>
  <c r="S137" s="1"/>
  <c r="P89"/>
  <c r="S89" s="1"/>
  <c r="P12"/>
  <c r="S12" s="1"/>
  <c r="P167"/>
  <c r="S167" s="1"/>
  <c r="P125"/>
  <c r="S125" s="1"/>
  <c r="P178"/>
  <c r="S178" s="1"/>
  <c r="P110"/>
  <c r="S110" s="1"/>
  <c r="P104"/>
  <c r="S104" s="1"/>
  <c r="P72"/>
  <c r="S72" s="1"/>
  <c r="P102"/>
  <c r="S102" s="1"/>
  <c r="P180"/>
  <c r="S180" s="1"/>
  <c r="P85"/>
  <c r="S85" s="1"/>
  <c r="P119"/>
  <c r="S119" s="1"/>
  <c r="P164"/>
  <c r="S164" s="1"/>
  <c r="P181"/>
  <c r="S181" s="1"/>
  <c r="P144"/>
  <c r="S144" s="1"/>
  <c r="P18"/>
  <c r="S18" s="1"/>
  <c r="P129"/>
  <c r="S129" s="1"/>
  <c r="P165"/>
  <c r="S165" s="1"/>
  <c r="P140"/>
  <c r="S140" s="1"/>
  <c r="P9"/>
  <c r="S9" s="1"/>
  <c r="P84"/>
  <c r="S84" s="1"/>
  <c r="P108"/>
  <c r="S108" s="1"/>
  <c r="P25"/>
  <c r="S25" s="1"/>
  <c r="P21"/>
  <c r="S21" s="1"/>
  <c r="P64"/>
  <c r="S64" s="1"/>
  <c r="P13"/>
  <c r="S13" s="1"/>
  <c r="P132"/>
  <c r="S132" s="1"/>
  <c r="P19"/>
  <c r="S19" s="1"/>
  <c r="P60"/>
  <c r="S60" s="1"/>
  <c r="P134"/>
  <c r="S134" s="1"/>
  <c r="P15"/>
  <c r="S15" s="1"/>
  <c r="P54"/>
  <c r="S54" s="1"/>
  <c r="P33"/>
  <c r="S33" s="1"/>
  <c r="P39"/>
  <c r="S39" s="1"/>
  <c r="P130"/>
  <c r="S130" s="1"/>
  <c r="P154"/>
  <c r="S154" s="1"/>
  <c r="P66"/>
  <c r="S66" s="1"/>
  <c r="P92"/>
  <c r="S92" s="1"/>
  <c r="P174"/>
  <c r="S174" s="1"/>
  <c r="P70"/>
  <c r="S70" s="1"/>
  <c r="P62"/>
  <c r="S62" s="1"/>
  <c r="P184"/>
  <c r="S184" s="1"/>
  <c r="P136"/>
  <c r="S136" s="1"/>
  <c r="P80"/>
  <c r="S80" s="1"/>
  <c r="P156"/>
  <c r="S156" s="1"/>
  <c r="P10"/>
  <c r="S10" s="1"/>
  <c r="P153"/>
  <c r="S153" s="1"/>
  <c r="P83"/>
  <c r="S83" s="1"/>
  <c r="P67"/>
  <c r="S67" s="1"/>
  <c r="P97"/>
  <c r="S97" s="1"/>
  <c r="P142"/>
  <c r="S142" s="1"/>
  <c r="P8"/>
  <c r="S8" s="1"/>
  <c r="P30"/>
  <c r="S30" s="1"/>
  <c r="P172"/>
  <c r="S172" s="1"/>
  <c r="P146"/>
  <c r="S146" s="1"/>
  <c r="P51"/>
  <c r="S51" s="1"/>
  <c r="P38"/>
  <c r="S38" s="1"/>
  <c r="P112"/>
  <c r="S112" s="1"/>
  <c r="P53"/>
  <c r="S53" s="1"/>
  <c r="P24"/>
  <c r="S24" s="1"/>
  <c r="P47"/>
  <c r="S47" s="1"/>
  <c r="P49"/>
  <c r="S49" s="1"/>
  <c r="P182"/>
  <c r="S182" s="1"/>
  <c r="P86"/>
  <c r="S86" s="1"/>
  <c r="P82"/>
  <c r="S82" s="1"/>
  <c r="P17"/>
  <c r="S17" s="1"/>
  <c r="P113"/>
  <c r="S113" s="1"/>
  <c r="P149"/>
  <c r="S149" s="1"/>
  <c r="P124"/>
  <c r="S124" s="1"/>
  <c r="P11"/>
  <c r="S11" s="1"/>
  <c r="P37"/>
  <c r="S37" s="1"/>
  <c r="P131"/>
  <c r="S131" s="1"/>
  <c r="P59"/>
  <c r="S59" s="1"/>
  <c r="P63"/>
  <c r="S63" s="1"/>
  <c r="P126"/>
  <c r="S126" s="1"/>
  <c r="P69"/>
  <c r="S69" s="1"/>
  <c r="P177"/>
  <c r="S177" s="1"/>
  <c r="P139"/>
  <c r="S139" s="1"/>
  <c r="P88"/>
  <c r="S88" s="1"/>
  <c r="P179"/>
  <c r="S179" s="1"/>
  <c r="P35"/>
  <c r="S35" s="1"/>
  <c r="P120"/>
  <c r="S120" s="1"/>
  <c r="P152"/>
  <c r="S152" s="1"/>
  <c r="P121"/>
  <c r="P91"/>
  <c r="S91" s="1"/>
  <c r="P171"/>
  <c r="S171" s="1"/>
  <c r="P105"/>
  <c r="S105" s="1"/>
  <c r="P61"/>
  <c r="S61" s="1"/>
  <c r="P109"/>
  <c r="S109" s="1"/>
  <c r="P94"/>
  <c r="S94" s="1"/>
  <c r="P78"/>
  <c r="S78" s="1"/>
  <c r="P58"/>
  <c r="S58" s="1"/>
  <c r="P114"/>
  <c r="S114" s="1"/>
  <c r="P75"/>
  <c r="S75" s="1"/>
  <c r="P107"/>
  <c r="S107" s="1"/>
  <c r="P31"/>
  <c r="S31" s="1"/>
  <c r="P160"/>
  <c r="S160" s="1"/>
  <c r="P95"/>
  <c r="S95" s="1"/>
  <c r="P55"/>
  <c r="S55" s="1"/>
  <c r="P183"/>
  <c r="S183" s="1"/>
  <c r="P68"/>
  <c r="S68" s="1"/>
  <c r="P148"/>
  <c r="S148" s="1"/>
  <c r="P87"/>
  <c r="S87" s="1"/>
  <c r="P175"/>
  <c r="S175" s="1"/>
  <c r="P135"/>
  <c r="S135" s="1"/>
  <c r="P96"/>
  <c r="S96" s="1"/>
  <c r="P52"/>
  <c r="S52" s="1"/>
  <c r="P73"/>
  <c r="S73" s="1"/>
  <c r="P42"/>
  <c r="S42" s="1"/>
  <c r="P128"/>
  <c r="S128" s="1"/>
  <c r="P27"/>
  <c r="S27" s="1"/>
  <c r="P150"/>
  <c r="S150" s="1"/>
  <c r="P117"/>
  <c r="S117" s="1"/>
  <c r="P22"/>
  <c r="S22" s="1"/>
  <c r="P133"/>
  <c r="S133" s="1"/>
  <c r="P138"/>
  <c r="S138" s="1"/>
  <c r="P7"/>
  <c r="S7" s="1"/>
  <c r="P14"/>
  <c r="S14" s="1"/>
  <c r="P50"/>
  <c r="S50" s="1"/>
  <c r="P32"/>
  <c r="S32" s="1"/>
  <c r="P65"/>
  <c r="S65" s="1"/>
  <c r="P100"/>
  <c r="S100" s="1"/>
  <c r="P163"/>
  <c r="S163" s="1"/>
  <c r="P90"/>
  <c r="S90" s="1"/>
  <c r="P76"/>
  <c r="S76" s="1"/>
  <c r="P16"/>
  <c r="S16" s="1"/>
  <c r="P185"/>
  <c r="S185" s="1"/>
  <c r="P162"/>
  <c r="S162" s="1"/>
  <c r="P99"/>
  <c r="S99" s="1"/>
  <c r="P106"/>
  <c r="S106" s="1"/>
  <c r="P41"/>
  <c r="S41" s="1"/>
  <c r="P158"/>
  <c r="S158" s="1"/>
  <c r="P173"/>
  <c r="S173" s="1"/>
  <c r="P122"/>
  <c r="S122" s="1"/>
  <c r="P93"/>
  <c r="S93" s="1"/>
  <c r="P79"/>
  <c r="S79" s="1"/>
  <c r="P74"/>
  <c r="S74" s="1"/>
  <c r="P23"/>
  <c r="S23" s="1"/>
  <c r="P43"/>
  <c r="S43" s="1"/>
  <c r="P143"/>
  <c r="S143" s="1"/>
  <c r="P103"/>
  <c r="S103" s="1"/>
  <c r="P115"/>
  <c r="S115" s="1"/>
  <c r="P168"/>
  <c r="S168" s="1"/>
  <c r="P98"/>
  <c r="S98" s="1"/>
  <c r="P101"/>
  <c r="O71"/>
  <c r="N71"/>
  <c r="M71" s="1"/>
  <c r="L71"/>
  <c r="K71"/>
  <c r="I71"/>
  <c r="H71"/>
  <c r="G71" s="1"/>
  <c r="O151"/>
  <c r="N151"/>
  <c r="L151"/>
  <c r="K151"/>
  <c r="I151"/>
  <c r="H151"/>
  <c r="O29"/>
  <c r="N29"/>
  <c r="M29" s="1"/>
  <c r="L29"/>
  <c r="K29"/>
  <c r="I29"/>
  <c r="H29"/>
  <c r="O169"/>
  <c r="N169"/>
  <c r="L169"/>
  <c r="K169"/>
  <c r="I169"/>
  <c r="H169"/>
  <c r="O81"/>
  <c r="N81"/>
  <c r="M81" s="1"/>
  <c r="L81"/>
  <c r="K81"/>
  <c r="I81"/>
  <c r="H81"/>
  <c r="G81" s="1"/>
  <c r="O141"/>
  <c r="N141"/>
  <c r="L141"/>
  <c r="K141"/>
  <c r="I141"/>
  <c r="H141"/>
  <c r="O161"/>
  <c r="N161"/>
  <c r="L161"/>
  <c r="K161"/>
  <c r="I161"/>
  <c r="H161"/>
  <c r="O77"/>
  <c r="N77"/>
  <c r="L77"/>
  <c r="K77"/>
  <c r="I77"/>
  <c r="H77"/>
  <c r="O127"/>
  <c r="N127"/>
  <c r="L127"/>
  <c r="K127"/>
  <c r="G127"/>
  <c r="O36"/>
  <c r="N36"/>
  <c r="L36"/>
  <c r="K36"/>
  <c r="I36"/>
  <c r="H36"/>
  <c r="O147"/>
  <c r="N147"/>
  <c r="L147"/>
  <c r="K147"/>
  <c r="I147"/>
  <c r="H147"/>
  <c r="O118"/>
  <c r="M118" s="1"/>
  <c r="N118"/>
  <c r="L118"/>
  <c r="K118"/>
  <c r="G118"/>
  <c r="O28"/>
  <c r="N28"/>
  <c r="L28"/>
  <c r="K28"/>
  <c r="I28"/>
  <c r="H28"/>
  <c r="O26"/>
  <c r="N26"/>
  <c r="L26"/>
  <c r="K26"/>
  <c r="I26"/>
  <c r="H26"/>
  <c r="O155"/>
  <c r="N155"/>
  <c r="L155"/>
  <c r="K155"/>
  <c r="I155"/>
  <c r="H155"/>
  <c r="O56"/>
  <c r="N56"/>
  <c r="L56"/>
  <c r="K56"/>
  <c r="I56"/>
  <c r="H56"/>
  <c r="O20"/>
  <c r="N20"/>
  <c r="L20"/>
  <c r="K20"/>
  <c r="I20"/>
  <c r="H20"/>
  <c r="O176"/>
  <c r="N176"/>
  <c r="L176"/>
  <c r="K176"/>
  <c r="I176"/>
  <c r="H176"/>
  <c r="O48"/>
  <c r="N48"/>
  <c r="L48"/>
  <c r="K48"/>
  <c r="I48"/>
  <c r="H48"/>
  <c r="O46"/>
  <c r="N46"/>
  <c r="L46"/>
  <c r="K46"/>
  <c r="I46"/>
  <c r="H46"/>
  <c r="O44"/>
  <c r="N44"/>
  <c r="L44"/>
  <c r="K44"/>
  <c r="I44"/>
  <c r="H44"/>
  <c r="O45"/>
  <c r="N45"/>
  <c r="L45"/>
  <c r="K45"/>
  <c r="I45"/>
  <c r="H45"/>
  <c r="O145"/>
  <c r="N145"/>
  <c r="L145"/>
  <c r="K145"/>
  <c r="I145"/>
  <c r="H145"/>
  <c r="O157"/>
  <c r="N157"/>
  <c r="L157"/>
  <c r="K157"/>
  <c r="I157"/>
  <c r="H157"/>
  <c r="O34"/>
  <c r="N34"/>
  <c r="L34"/>
  <c r="K34"/>
  <c r="I34"/>
  <c r="H34"/>
  <c r="O159"/>
  <c r="N159"/>
  <c r="L159"/>
  <c r="K159"/>
  <c r="I159"/>
  <c r="H159"/>
  <c r="O116"/>
  <c r="N116"/>
  <c r="L116"/>
  <c r="K116"/>
  <c r="G116"/>
  <c r="O57"/>
  <c r="N57"/>
  <c r="L57"/>
  <c r="K57"/>
  <c r="G57"/>
  <c r="O137"/>
  <c r="N137"/>
  <c r="L137"/>
  <c r="K137"/>
  <c r="I137"/>
  <c r="H137"/>
  <c r="O89"/>
  <c r="N89"/>
  <c r="L89"/>
  <c r="K89"/>
  <c r="I89"/>
  <c r="H89"/>
  <c r="O12"/>
  <c r="N12"/>
  <c r="L12"/>
  <c r="K12"/>
  <c r="I12"/>
  <c r="H12"/>
  <c r="O167"/>
  <c r="N167"/>
  <c r="M167" s="1"/>
  <c r="L167"/>
  <c r="K167"/>
  <c r="I167"/>
  <c r="H167"/>
  <c r="O125"/>
  <c r="N125"/>
  <c r="L125"/>
  <c r="K125"/>
  <c r="I125"/>
  <c r="H125"/>
  <c r="O178"/>
  <c r="N178"/>
  <c r="L178"/>
  <c r="K178"/>
  <c r="G178"/>
  <c r="O110"/>
  <c r="N110"/>
  <c r="L110"/>
  <c r="K110"/>
  <c r="I110"/>
  <c r="H110"/>
  <c r="O104"/>
  <c r="M104" s="1"/>
  <c r="N104"/>
  <c r="L104"/>
  <c r="K104"/>
  <c r="I104"/>
  <c r="H104"/>
  <c r="O72"/>
  <c r="N72"/>
  <c r="L72"/>
  <c r="K72"/>
  <c r="I72"/>
  <c r="H72"/>
  <c r="O102"/>
  <c r="N102"/>
  <c r="L102"/>
  <c r="K102"/>
  <c r="I102"/>
  <c r="H102"/>
  <c r="O180"/>
  <c r="N180"/>
  <c r="L180"/>
  <c r="K180"/>
  <c r="I180"/>
  <c r="H180"/>
  <c r="O85"/>
  <c r="N85"/>
  <c r="L85"/>
  <c r="K85"/>
  <c r="I85"/>
  <c r="H85"/>
  <c r="O119"/>
  <c r="N119"/>
  <c r="L119"/>
  <c r="K119"/>
  <c r="I119"/>
  <c r="H119"/>
  <c r="O164"/>
  <c r="N164"/>
  <c r="L164"/>
  <c r="K164"/>
  <c r="I164"/>
  <c r="H164"/>
  <c r="O181"/>
  <c r="N181"/>
  <c r="L181"/>
  <c r="K181"/>
  <c r="I181"/>
  <c r="H181"/>
  <c r="O144"/>
  <c r="N144"/>
  <c r="L144"/>
  <c r="K144"/>
  <c r="G144"/>
  <c r="O18"/>
  <c r="N18"/>
  <c r="L18"/>
  <c r="K18"/>
  <c r="I18"/>
  <c r="H18"/>
  <c r="O129"/>
  <c r="N129"/>
  <c r="L129"/>
  <c r="K129"/>
  <c r="G129"/>
  <c r="O165"/>
  <c r="N165"/>
  <c r="L165"/>
  <c r="K165"/>
  <c r="I165"/>
  <c r="H165"/>
  <c r="O140"/>
  <c r="N140"/>
  <c r="L140"/>
  <c r="K140"/>
  <c r="I140"/>
  <c r="H140"/>
  <c r="O9"/>
  <c r="N9"/>
  <c r="L9"/>
  <c r="K9"/>
  <c r="I9"/>
  <c r="H9"/>
  <c r="O84"/>
  <c r="N84"/>
  <c r="L84"/>
  <c r="K84"/>
  <c r="I84"/>
  <c r="H84"/>
  <c r="N108"/>
  <c r="M108" s="1"/>
  <c r="L108"/>
  <c r="K108"/>
  <c r="I108"/>
  <c r="H108"/>
  <c r="O25"/>
  <c r="N25"/>
  <c r="L25"/>
  <c r="K25"/>
  <c r="I25"/>
  <c r="H25"/>
  <c r="O21"/>
  <c r="N21"/>
  <c r="L21"/>
  <c r="K21"/>
  <c r="I21"/>
  <c r="H21"/>
  <c r="O64"/>
  <c r="N64"/>
  <c r="L64"/>
  <c r="K64"/>
  <c r="I64"/>
  <c r="H64"/>
  <c r="O13"/>
  <c r="N13"/>
  <c r="L13"/>
  <c r="K13"/>
  <c r="I13"/>
  <c r="H13"/>
  <c r="O132"/>
  <c r="N132"/>
  <c r="L132"/>
  <c r="K132"/>
  <c r="I132"/>
  <c r="H132"/>
  <c r="O19"/>
  <c r="N19"/>
  <c r="L19"/>
  <c r="K19"/>
  <c r="I19"/>
  <c r="H19"/>
  <c r="O60"/>
  <c r="N60"/>
  <c r="L60"/>
  <c r="K60"/>
  <c r="I60"/>
  <c r="H60"/>
  <c r="O134"/>
  <c r="N134"/>
  <c r="L134"/>
  <c r="K134"/>
  <c r="I134"/>
  <c r="H134"/>
  <c r="O15"/>
  <c r="N15"/>
  <c r="L15"/>
  <c r="K15"/>
  <c r="I15"/>
  <c r="H15"/>
  <c r="O54"/>
  <c r="N54"/>
  <c r="L54"/>
  <c r="K54"/>
  <c r="I54"/>
  <c r="H54"/>
  <c r="O33"/>
  <c r="N33"/>
  <c r="M33" s="1"/>
  <c r="L33"/>
  <c r="K33"/>
  <c r="I33"/>
  <c r="H33"/>
  <c r="O39"/>
  <c r="N39"/>
  <c r="L39"/>
  <c r="K39"/>
  <c r="I39"/>
  <c r="H39"/>
  <c r="O130"/>
  <c r="N130"/>
  <c r="L130"/>
  <c r="K130"/>
  <c r="I130"/>
  <c r="H130"/>
  <c r="O154"/>
  <c r="N154"/>
  <c r="L154"/>
  <c r="K154"/>
  <c r="I154"/>
  <c r="H154"/>
  <c r="O66"/>
  <c r="N66"/>
  <c r="M66" s="1"/>
  <c r="L66"/>
  <c r="K66"/>
  <c r="I66"/>
  <c r="H66"/>
  <c r="O92"/>
  <c r="N92"/>
  <c r="L92"/>
  <c r="K92"/>
  <c r="I92"/>
  <c r="H92"/>
  <c r="O174"/>
  <c r="N174"/>
  <c r="L174"/>
  <c r="K174"/>
  <c r="I174"/>
  <c r="H174"/>
  <c r="O70"/>
  <c r="N70"/>
  <c r="L70"/>
  <c r="K70"/>
  <c r="I70"/>
  <c r="H70"/>
  <c r="O62"/>
  <c r="N62"/>
  <c r="L62"/>
  <c r="K62"/>
  <c r="I62"/>
  <c r="H62"/>
  <c r="N184"/>
  <c r="M184" s="1"/>
  <c r="K184"/>
  <c r="J184" s="1"/>
  <c r="H184"/>
  <c r="G184" s="1"/>
  <c r="O136"/>
  <c r="M136" s="1"/>
  <c r="N136"/>
  <c r="L136"/>
  <c r="K136"/>
  <c r="I136"/>
  <c r="H136"/>
  <c r="O80"/>
  <c r="N80"/>
  <c r="L80"/>
  <c r="K80"/>
  <c r="I80"/>
  <c r="H80"/>
  <c r="O156"/>
  <c r="N156"/>
  <c r="L156"/>
  <c r="K156"/>
  <c r="I156"/>
  <c r="H156"/>
  <c r="O10"/>
  <c r="N10"/>
  <c r="L10"/>
  <c r="K10"/>
  <c r="I10"/>
  <c r="H10"/>
  <c r="O153"/>
  <c r="M153" s="1"/>
  <c r="N153"/>
  <c r="L153"/>
  <c r="K153"/>
  <c r="I153"/>
  <c r="H153"/>
  <c r="O83"/>
  <c r="N83"/>
  <c r="L83"/>
  <c r="K83"/>
  <c r="G83"/>
  <c r="O67"/>
  <c r="N67"/>
  <c r="L67"/>
  <c r="K67"/>
  <c r="I67"/>
  <c r="H67"/>
  <c r="O97"/>
  <c r="N97"/>
  <c r="M97" s="1"/>
  <c r="L97"/>
  <c r="K97"/>
  <c r="I97"/>
  <c r="H97"/>
  <c r="N142"/>
  <c r="M142" s="1"/>
  <c r="K142"/>
  <c r="J142" s="1"/>
  <c r="H142"/>
  <c r="G142" s="1"/>
  <c r="O8"/>
  <c r="N8"/>
  <c r="L8"/>
  <c r="K8"/>
  <c r="I8"/>
  <c r="H8"/>
  <c r="O30"/>
  <c r="N30"/>
  <c r="L30"/>
  <c r="K30"/>
  <c r="I30"/>
  <c r="H30"/>
  <c r="O172"/>
  <c r="N172"/>
  <c r="L172"/>
  <c r="K172"/>
  <c r="I172"/>
  <c r="H172"/>
  <c r="O146"/>
  <c r="N146"/>
  <c r="L146"/>
  <c r="K146"/>
  <c r="I146"/>
  <c r="H146"/>
  <c r="O51"/>
  <c r="N51"/>
  <c r="L51"/>
  <c r="K51"/>
  <c r="I51"/>
  <c r="H51"/>
  <c r="O38"/>
  <c r="N38"/>
  <c r="L38"/>
  <c r="K38"/>
  <c r="I38"/>
  <c r="H38"/>
  <c r="O112"/>
  <c r="N112"/>
  <c r="L112"/>
  <c r="K112"/>
  <c r="I112"/>
  <c r="H112"/>
  <c r="O53"/>
  <c r="N53"/>
  <c r="L53"/>
  <c r="K53"/>
  <c r="I53"/>
  <c r="H53"/>
  <c r="O24"/>
  <c r="L24"/>
  <c r="K24"/>
  <c r="I24"/>
  <c r="H24"/>
  <c r="O49"/>
  <c r="N49"/>
  <c r="L49"/>
  <c r="K49"/>
  <c r="I49"/>
  <c r="H49"/>
  <c r="O182"/>
  <c r="N182"/>
  <c r="L182"/>
  <c r="K182"/>
  <c r="J182" s="1"/>
  <c r="I182"/>
  <c r="H182"/>
  <c r="O86"/>
  <c r="N86"/>
  <c r="L86"/>
  <c r="K86"/>
  <c r="I86"/>
  <c r="H86"/>
  <c r="G86" s="1"/>
  <c r="O82"/>
  <c r="N82"/>
  <c r="L82"/>
  <c r="K82"/>
  <c r="I82"/>
  <c r="H82"/>
  <c r="O17"/>
  <c r="N17"/>
  <c r="L17"/>
  <c r="K17"/>
  <c r="I17"/>
  <c r="H17"/>
  <c r="O113"/>
  <c r="N113"/>
  <c r="L113"/>
  <c r="K113"/>
  <c r="I113"/>
  <c r="H113"/>
  <c r="O149"/>
  <c r="N149"/>
  <c r="L149"/>
  <c r="K149"/>
  <c r="I149"/>
  <c r="H149"/>
  <c r="O124"/>
  <c r="N124"/>
  <c r="L124"/>
  <c r="K124"/>
  <c r="I124"/>
  <c r="H124"/>
  <c r="O11"/>
  <c r="N11"/>
  <c r="L11"/>
  <c r="K11"/>
  <c r="I11"/>
  <c r="H11"/>
  <c r="O37"/>
  <c r="N37"/>
  <c r="L37"/>
  <c r="K37"/>
  <c r="I37"/>
  <c r="H37"/>
  <c r="O126"/>
  <c r="N126"/>
  <c r="L126"/>
  <c r="K126"/>
  <c r="I126"/>
  <c r="H126"/>
  <c r="O69"/>
  <c r="N69"/>
  <c r="L69"/>
  <c r="K69"/>
  <c r="I69"/>
  <c r="H69"/>
  <c r="O177"/>
  <c r="N177"/>
  <c r="L177"/>
  <c r="K177"/>
  <c r="I177"/>
  <c r="H177"/>
  <c r="O139"/>
  <c r="N139"/>
  <c r="L139"/>
  <c r="K139"/>
  <c r="I139"/>
  <c r="H139"/>
  <c r="O88"/>
  <c r="N88"/>
  <c r="L88"/>
  <c r="K88"/>
  <c r="I88"/>
  <c r="H88"/>
  <c r="N179"/>
  <c r="M179" s="1"/>
  <c r="K179"/>
  <c r="J179" s="1"/>
  <c r="H179"/>
  <c r="G179" s="1"/>
  <c r="O35"/>
  <c r="N35"/>
  <c r="L35"/>
  <c r="K35"/>
  <c r="I35"/>
  <c r="H35"/>
  <c r="O120"/>
  <c r="N120"/>
  <c r="L120"/>
  <c r="K120"/>
  <c r="I120"/>
  <c r="H120"/>
  <c r="O152"/>
  <c r="N152"/>
  <c r="L152"/>
  <c r="K152"/>
  <c r="I152"/>
  <c r="H152"/>
  <c r="M91"/>
  <c r="J171"/>
  <c r="O109"/>
  <c r="N109"/>
  <c r="L109"/>
  <c r="K109"/>
  <c r="I109"/>
  <c r="H109"/>
  <c r="O94"/>
  <c r="N94"/>
  <c r="L94"/>
  <c r="K94"/>
  <c r="I94"/>
  <c r="H94"/>
  <c r="O78"/>
  <c r="N78"/>
  <c r="L78"/>
  <c r="K78"/>
  <c r="I78"/>
  <c r="H78"/>
  <c r="O58"/>
  <c r="M58" s="1"/>
  <c r="N58"/>
  <c r="L58"/>
  <c r="K58"/>
  <c r="I58"/>
  <c r="H58"/>
  <c r="O114"/>
  <c r="N114"/>
  <c r="L114"/>
  <c r="K114"/>
  <c r="I114"/>
  <c r="H114"/>
  <c r="O75"/>
  <c r="N75"/>
  <c r="L75"/>
  <c r="K75"/>
  <c r="G75"/>
  <c r="O107"/>
  <c r="N107"/>
  <c r="L107"/>
  <c r="K107"/>
  <c r="G107"/>
  <c r="O31"/>
  <c r="N31"/>
  <c r="L31"/>
  <c r="K31"/>
  <c r="I31"/>
  <c r="H31"/>
  <c r="O160"/>
  <c r="N160"/>
  <c r="L160"/>
  <c r="K160"/>
  <c r="I160"/>
  <c r="H160"/>
  <c r="O95"/>
  <c r="N95"/>
  <c r="L95"/>
  <c r="K95"/>
  <c r="I95"/>
  <c r="H95"/>
  <c r="O55"/>
  <c r="N55"/>
  <c r="L55"/>
  <c r="K55"/>
  <c r="I55"/>
  <c r="H55"/>
  <c r="O183"/>
  <c r="N183"/>
  <c r="K183"/>
  <c r="J183" s="1"/>
  <c r="I183"/>
  <c r="H183"/>
  <c r="O68"/>
  <c r="N68"/>
  <c r="M68" s="1"/>
  <c r="L68"/>
  <c r="K68"/>
  <c r="I68"/>
  <c r="H68"/>
  <c r="O148"/>
  <c r="N148"/>
  <c r="L148"/>
  <c r="K148"/>
  <c r="I148"/>
  <c r="H148"/>
  <c r="O87"/>
  <c r="N87"/>
  <c r="L87"/>
  <c r="K87"/>
  <c r="I87"/>
  <c r="H87"/>
  <c r="O175"/>
  <c r="N175"/>
  <c r="L175"/>
  <c r="K175"/>
  <c r="I175"/>
  <c r="H175"/>
  <c r="O135"/>
  <c r="N135"/>
  <c r="M135" s="1"/>
  <c r="L135"/>
  <c r="K135"/>
  <c r="I135"/>
  <c r="H135"/>
  <c r="O96"/>
  <c r="N96"/>
  <c r="L96"/>
  <c r="K96"/>
  <c r="I96"/>
  <c r="H96"/>
  <c r="O52"/>
  <c r="N52"/>
  <c r="L52"/>
  <c r="K52"/>
  <c r="I52"/>
  <c r="H52"/>
  <c r="O73"/>
  <c r="N73"/>
  <c r="L73"/>
  <c r="K73"/>
  <c r="I73"/>
  <c r="H73"/>
  <c r="O42"/>
  <c r="N42"/>
  <c r="L42"/>
  <c r="K42"/>
  <c r="I42"/>
  <c r="H42"/>
  <c r="O128"/>
  <c r="N128"/>
  <c r="L128"/>
  <c r="K128"/>
  <c r="I128"/>
  <c r="H128"/>
  <c r="O27"/>
  <c r="N27"/>
  <c r="L27"/>
  <c r="K27"/>
  <c r="I27"/>
  <c r="H27"/>
  <c r="N150"/>
  <c r="M150" s="1"/>
  <c r="K150"/>
  <c r="J150" s="1"/>
  <c r="H150"/>
  <c r="G150" s="1"/>
  <c r="O117"/>
  <c r="N117"/>
  <c r="L117"/>
  <c r="K117"/>
  <c r="I117"/>
  <c r="H117"/>
  <c r="O22"/>
  <c r="N22"/>
  <c r="L22"/>
  <c r="K22"/>
  <c r="I22"/>
  <c r="H22"/>
  <c r="O133"/>
  <c r="N133"/>
  <c r="L133"/>
  <c r="K133"/>
  <c r="G133"/>
  <c r="N138"/>
  <c r="M138" s="1"/>
  <c r="K138"/>
  <c r="J138" s="1"/>
  <c r="H138"/>
  <c r="G138" s="1"/>
  <c r="O7"/>
  <c r="M7" s="1"/>
  <c r="N7"/>
  <c r="L7"/>
  <c r="K7"/>
  <c r="I7"/>
  <c r="H7"/>
  <c r="O14"/>
  <c r="N14"/>
  <c r="L14"/>
  <c r="K14"/>
  <c r="I14"/>
  <c r="H14"/>
  <c r="O50"/>
  <c r="N50"/>
  <c r="L50"/>
  <c r="K50"/>
  <c r="I50"/>
  <c r="H50"/>
  <c r="O32"/>
  <c r="N32"/>
  <c r="L32"/>
  <c r="K32"/>
  <c r="I32"/>
  <c r="H32"/>
  <c r="O65"/>
  <c r="N65"/>
  <c r="L65"/>
  <c r="K65"/>
  <c r="I65"/>
  <c r="H65"/>
  <c r="O100"/>
  <c r="N100"/>
  <c r="L100"/>
  <c r="K100"/>
  <c r="G100"/>
  <c r="O163"/>
  <c r="N163"/>
  <c r="L163"/>
  <c r="K163"/>
  <c r="I163"/>
  <c r="H163"/>
  <c r="O90"/>
  <c r="N90"/>
  <c r="L90"/>
  <c r="K90"/>
  <c r="I90"/>
  <c r="H90"/>
  <c r="O185"/>
  <c r="N185"/>
  <c r="L185"/>
  <c r="K185"/>
  <c r="I185"/>
  <c r="H185"/>
  <c r="O162"/>
  <c r="N162"/>
  <c r="L162"/>
  <c r="K162"/>
  <c r="G162"/>
  <c r="O99"/>
  <c r="N99"/>
  <c r="L99"/>
  <c r="K99"/>
  <c r="I99"/>
  <c r="H99"/>
  <c r="O106"/>
  <c r="N106"/>
  <c r="L106"/>
  <c r="K106"/>
  <c r="I106"/>
  <c r="H106"/>
  <c r="O41"/>
  <c r="N41"/>
  <c r="L41"/>
  <c r="K41"/>
  <c r="I41"/>
  <c r="H41"/>
  <c r="O158"/>
  <c r="N158"/>
  <c r="L158"/>
  <c r="K158"/>
  <c r="I158"/>
  <c r="H158"/>
  <c r="O173"/>
  <c r="N173"/>
  <c r="L173"/>
  <c r="K173"/>
  <c r="I173"/>
  <c r="H173"/>
  <c r="O122"/>
  <c r="N122"/>
  <c r="L122"/>
  <c r="K122"/>
  <c r="I122"/>
  <c r="H122"/>
  <c r="O93"/>
  <c r="N93"/>
  <c r="L93"/>
  <c r="K93"/>
  <c r="I93"/>
  <c r="H93"/>
  <c r="O79"/>
  <c r="M79" s="1"/>
  <c r="N79"/>
  <c r="L79"/>
  <c r="K79"/>
  <c r="I79"/>
  <c r="H79"/>
  <c r="O74"/>
  <c r="N74"/>
  <c r="L74"/>
  <c r="K74"/>
  <c r="I74"/>
  <c r="H74"/>
  <c r="O23"/>
  <c r="N23"/>
  <c r="L23"/>
  <c r="K23"/>
  <c r="I23"/>
  <c r="H23"/>
  <c r="O43"/>
  <c r="N43"/>
  <c r="L43"/>
  <c r="K43"/>
  <c r="I43"/>
  <c r="H43"/>
  <c r="O143"/>
  <c r="M143" s="1"/>
  <c r="N143"/>
  <c r="L143"/>
  <c r="K143"/>
  <c r="I143"/>
  <c r="H143"/>
  <c r="O103"/>
  <c r="N103"/>
  <c r="M103"/>
  <c r="L103"/>
  <c r="K103"/>
  <c r="I103"/>
  <c r="H103"/>
  <c r="O115"/>
  <c r="N115"/>
  <c r="L115"/>
  <c r="K115"/>
  <c r="G115"/>
  <c r="O168"/>
  <c r="N168"/>
  <c r="L168"/>
  <c r="K168"/>
  <c r="I168"/>
  <c r="H168"/>
  <c r="O98"/>
  <c r="N98"/>
  <c r="L98"/>
  <c r="K98"/>
  <c r="I98"/>
  <c r="H98"/>
  <c r="O101"/>
  <c r="N101"/>
  <c r="L101"/>
  <c r="L186" s="1"/>
  <c r="K101"/>
  <c r="I101"/>
  <c r="H101"/>
  <c r="F7" i="7"/>
  <c r="F8"/>
  <c r="F9"/>
  <c r="F10"/>
  <c r="F6"/>
  <c r="O12" i="6"/>
  <c r="N12"/>
  <c r="M8"/>
  <c r="M7"/>
  <c r="M12" s="1"/>
  <c r="M9"/>
  <c r="M11"/>
  <c r="M10"/>
  <c r="F8"/>
  <c r="F7"/>
  <c r="F9"/>
  <c r="F11"/>
  <c r="F10"/>
  <c r="O23" i="5"/>
  <c r="N23"/>
  <c r="M22"/>
  <c r="M20"/>
  <c r="M21"/>
  <c r="M10"/>
  <c r="M18"/>
  <c r="M16"/>
  <c r="M12"/>
  <c r="M13"/>
  <c r="M11"/>
  <c r="M7"/>
  <c r="M14"/>
  <c r="M19"/>
  <c r="M9"/>
  <c r="M8"/>
  <c r="M15"/>
  <c r="M17"/>
  <c r="F22"/>
  <c r="F20"/>
  <c r="F21"/>
  <c r="F10"/>
  <c r="F18"/>
  <c r="F16"/>
  <c r="F12"/>
  <c r="F13"/>
  <c r="F11"/>
  <c r="F7"/>
  <c r="F14"/>
  <c r="F19"/>
  <c r="F9"/>
  <c r="F8"/>
  <c r="F15"/>
  <c r="F17"/>
  <c r="Q11" i="7"/>
  <c r="R43" i="8"/>
  <c r="O43"/>
  <c r="N43"/>
  <c r="L43"/>
  <c r="K43"/>
  <c r="I43"/>
  <c r="H43"/>
  <c r="P11"/>
  <c r="S11" s="1"/>
  <c r="M11"/>
  <c r="J11"/>
  <c r="G11"/>
  <c r="P16"/>
  <c r="S16" s="1"/>
  <c r="M16"/>
  <c r="J16"/>
  <c r="G16"/>
  <c r="P34"/>
  <c r="S34" s="1"/>
  <c r="M34"/>
  <c r="J34"/>
  <c r="G34"/>
  <c r="P22"/>
  <c r="S22" s="1"/>
  <c r="M22"/>
  <c r="J22"/>
  <c r="G22"/>
  <c r="P26"/>
  <c r="S26" s="1"/>
  <c r="M26"/>
  <c r="J26"/>
  <c r="G26"/>
  <c r="P37"/>
  <c r="S37" s="1"/>
  <c r="M37"/>
  <c r="J37"/>
  <c r="G37"/>
  <c r="P28"/>
  <c r="S28" s="1"/>
  <c r="M28"/>
  <c r="J28"/>
  <c r="G28"/>
  <c r="P31"/>
  <c r="S31" s="1"/>
  <c r="M31"/>
  <c r="J31"/>
  <c r="G31"/>
  <c r="P41"/>
  <c r="S41" s="1"/>
  <c r="M41"/>
  <c r="J41"/>
  <c r="G41"/>
  <c r="P24"/>
  <c r="S24" s="1"/>
  <c r="M24"/>
  <c r="J24"/>
  <c r="G24"/>
  <c r="P29"/>
  <c r="S29" s="1"/>
  <c r="M29"/>
  <c r="J29"/>
  <c r="G29"/>
  <c r="P40"/>
  <c r="S40" s="1"/>
  <c r="M40"/>
  <c r="J40"/>
  <c r="G40"/>
  <c r="P38"/>
  <c r="S38" s="1"/>
  <c r="M38"/>
  <c r="J38"/>
  <c r="G38"/>
  <c r="P27"/>
  <c r="S27" s="1"/>
  <c r="M27"/>
  <c r="J27"/>
  <c r="G27"/>
  <c r="P36"/>
  <c r="S36" s="1"/>
  <c r="M36"/>
  <c r="J36"/>
  <c r="G36"/>
  <c r="P42"/>
  <c r="S42" s="1"/>
  <c r="M42"/>
  <c r="J42"/>
  <c r="G42"/>
  <c r="P23"/>
  <c r="S23" s="1"/>
  <c r="M23"/>
  <c r="J23"/>
  <c r="G23"/>
  <c r="P9"/>
  <c r="S9" s="1"/>
  <c r="M9"/>
  <c r="J9"/>
  <c r="G9"/>
  <c r="P30"/>
  <c r="S30" s="1"/>
  <c r="M30"/>
  <c r="J30"/>
  <c r="G30"/>
  <c r="P21"/>
  <c r="S21" s="1"/>
  <c r="M21"/>
  <c r="J21"/>
  <c r="G21"/>
  <c r="P19"/>
  <c r="S19" s="1"/>
  <c r="M19"/>
  <c r="J19"/>
  <c r="G19"/>
  <c r="P13"/>
  <c r="S13" s="1"/>
  <c r="M13"/>
  <c r="J13"/>
  <c r="G13"/>
  <c r="P10"/>
  <c r="S10" s="1"/>
  <c r="M10"/>
  <c r="J10"/>
  <c r="G10"/>
  <c r="P12"/>
  <c r="S12" s="1"/>
  <c r="M12"/>
  <c r="J12"/>
  <c r="G12"/>
  <c r="P18"/>
  <c r="S18" s="1"/>
  <c r="M18"/>
  <c r="J18"/>
  <c r="G18"/>
  <c r="P17"/>
  <c r="S17" s="1"/>
  <c r="M17"/>
  <c r="J17"/>
  <c r="G17"/>
  <c r="P14"/>
  <c r="S14" s="1"/>
  <c r="M14"/>
  <c r="J14"/>
  <c r="G14"/>
  <c r="P15"/>
  <c r="S15" s="1"/>
  <c r="M15"/>
  <c r="J15"/>
  <c r="G15"/>
  <c r="P8"/>
  <c r="S8" s="1"/>
  <c r="M8"/>
  <c r="J8"/>
  <c r="G8"/>
  <c r="P25"/>
  <c r="S25" s="1"/>
  <c r="M25"/>
  <c r="J25"/>
  <c r="G25"/>
  <c r="P20"/>
  <c r="S20" s="1"/>
  <c r="M20"/>
  <c r="J20"/>
  <c r="G20"/>
  <c r="P39"/>
  <c r="S39" s="1"/>
  <c r="M39"/>
  <c r="J39"/>
  <c r="G39"/>
  <c r="P35"/>
  <c r="S35" s="1"/>
  <c r="M35"/>
  <c r="J35"/>
  <c r="G35"/>
  <c r="P33"/>
  <c r="S33" s="1"/>
  <c r="M33"/>
  <c r="J33"/>
  <c r="G33"/>
  <c r="P32"/>
  <c r="M32"/>
  <c r="M43" s="1"/>
  <c r="J32"/>
  <c r="J43" s="1"/>
  <c r="G32"/>
  <c r="G43" s="1"/>
  <c r="R11" i="7"/>
  <c r="O11"/>
  <c r="N11"/>
  <c r="L11"/>
  <c r="K11"/>
  <c r="I11"/>
  <c r="H11"/>
  <c r="P7"/>
  <c r="M7"/>
  <c r="J7"/>
  <c r="G7"/>
  <c r="P8"/>
  <c r="M8"/>
  <c r="J8"/>
  <c r="G8"/>
  <c r="P9"/>
  <c r="M9"/>
  <c r="J9"/>
  <c r="G9"/>
  <c r="P10"/>
  <c r="S10" s="1"/>
  <c r="M10"/>
  <c r="J10"/>
  <c r="G10"/>
  <c r="P6"/>
  <c r="M6"/>
  <c r="M11" s="1"/>
  <c r="J6"/>
  <c r="J11" s="1"/>
  <c r="G6"/>
  <c r="G11" s="1"/>
  <c r="I186" i="9" l="1"/>
  <c r="O186"/>
  <c r="H186"/>
  <c r="N186"/>
  <c r="J98"/>
  <c r="M168"/>
  <c r="J143"/>
  <c r="J23"/>
  <c r="M74"/>
  <c r="J79"/>
  <c r="G93"/>
  <c r="J106"/>
  <c r="M100"/>
  <c r="G32"/>
  <c r="G95"/>
  <c r="J160"/>
  <c r="G31"/>
  <c r="G78"/>
  <c r="J94"/>
  <c r="M82"/>
  <c r="M155"/>
  <c r="K186"/>
  <c r="J103"/>
  <c r="M175"/>
  <c r="J53"/>
  <c r="M112"/>
  <c r="M67"/>
  <c r="M83"/>
  <c r="J153"/>
  <c r="J156"/>
  <c r="M80"/>
  <c r="J136"/>
  <c r="G62"/>
  <c r="G174"/>
  <c r="J92"/>
  <c r="G66"/>
  <c r="M154"/>
  <c r="M54"/>
  <c r="J164"/>
  <c r="M72"/>
  <c r="J104"/>
  <c r="G125"/>
  <c r="J48"/>
  <c r="J155"/>
  <c r="S121"/>
  <c r="P186"/>
  <c r="P43" i="8"/>
  <c r="S32"/>
  <c r="S8" i="7"/>
  <c r="S101" i="9"/>
  <c r="M122"/>
  <c r="G158"/>
  <c r="J14"/>
  <c r="J22"/>
  <c r="M117"/>
  <c r="M75"/>
  <c r="M61"/>
  <c r="G120"/>
  <c r="M120"/>
  <c r="M134"/>
  <c r="M137"/>
  <c r="M157"/>
  <c r="M99"/>
  <c r="M162"/>
  <c r="M31"/>
  <c r="M177"/>
  <c r="M59"/>
  <c r="G37"/>
  <c r="M37"/>
  <c r="M124"/>
  <c r="G113"/>
  <c r="M113"/>
  <c r="M47"/>
  <c r="G146"/>
  <c r="M146"/>
  <c r="M30"/>
  <c r="G15"/>
  <c r="J134"/>
  <c r="M64"/>
  <c r="M9"/>
  <c r="G165"/>
  <c r="M165"/>
  <c r="G85"/>
  <c r="J180"/>
  <c r="J157"/>
  <c r="J26"/>
  <c r="J127"/>
  <c r="M77"/>
  <c r="J162"/>
  <c r="M163"/>
  <c r="M42"/>
  <c r="J107"/>
  <c r="M69"/>
  <c r="M131"/>
  <c r="M119"/>
  <c r="M26"/>
  <c r="S9" i="7"/>
  <c r="P11"/>
  <c r="S6"/>
  <c r="S7"/>
  <c r="S9" i="6"/>
  <c r="M23" i="5"/>
  <c r="J115" i="9"/>
  <c r="G103"/>
  <c r="J90"/>
  <c r="J100"/>
  <c r="J128"/>
  <c r="J175"/>
  <c r="J148"/>
  <c r="J31"/>
  <c r="J114"/>
  <c r="G171"/>
  <c r="J88"/>
  <c r="J17"/>
  <c r="G53"/>
  <c r="J62"/>
  <c r="J66"/>
  <c r="G19"/>
  <c r="G21"/>
  <c r="J25"/>
  <c r="G137"/>
  <c r="G45"/>
  <c r="G169"/>
  <c r="J122"/>
  <c r="G16"/>
  <c r="G22"/>
  <c r="G73"/>
  <c r="J52"/>
  <c r="G114"/>
  <c r="G35"/>
  <c r="J69"/>
  <c r="J63"/>
  <c r="J131"/>
  <c r="G11"/>
  <c r="G17"/>
  <c r="G172"/>
  <c r="J67"/>
  <c r="J154"/>
  <c r="J39"/>
  <c r="J54"/>
  <c r="J13"/>
  <c r="G84"/>
  <c r="J125"/>
  <c r="G34"/>
  <c r="J46"/>
  <c r="G48"/>
  <c r="G20"/>
  <c r="J56"/>
  <c r="G155"/>
  <c r="J118"/>
  <c r="J36"/>
  <c r="J101"/>
  <c r="M98"/>
  <c r="J43"/>
  <c r="M23"/>
  <c r="G99"/>
  <c r="G163"/>
  <c r="G7"/>
  <c r="G52"/>
  <c r="G135"/>
  <c r="J95"/>
  <c r="J91"/>
  <c r="M121"/>
  <c r="G88"/>
  <c r="G177"/>
  <c r="M11"/>
  <c r="J112"/>
  <c r="M38"/>
  <c r="J130"/>
  <c r="G64"/>
  <c r="G25"/>
  <c r="J108"/>
  <c r="M18"/>
  <c r="G119"/>
  <c r="G180"/>
  <c r="J102"/>
  <c r="J89"/>
  <c r="M34"/>
  <c r="M145"/>
  <c r="G44"/>
  <c r="J77"/>
  <c r="M161"/>
  <c r="G101"/>
  <c r="G43"/>
  <c r="M93"/>
  <c r="M173"/>
  <c r="G41"/>
  <c r="M41"/>
  <c r="J99"/>
  <c r="M185"/>
  <c r="G76"/>
  <c r="M76"/>
  <c r="J163"/>
  <c r="M65"/>
  <c r="G50"/>
  <c r="M50"/>
  <c r="J7"/>
  <c r="J133"/>
  <c r="J117"/>
  <c r="G27"/>
  <c r="M27"/>
  <c r="J42"/>
  <c r="J135"/>
  <c r="J87"/>
  <c r="M148"/>
  <c r="M183"/>
  <c r="G58"/>
  <c r="G94"/>
  <c r="J109"/>
  <c r="G61"/>
  <c r="M105"/>
  <c r="M152"/>
  <c r="M35"/>
  <c r="J177"/>
  <c r="J126"/>
  <c r="M63"/>
  <c r="J11"/>
  <c r="G82"/>
  <c r="G182"/>
  <c r="J49"/>
  <c r="G47"/>
  <c r="M24"/>
  <c r="M51"/>
  <c r="M172"/>
  <c r="G8"/>
  <c r="J97"/>
  <c r="J83"/>
  <c r="J10"/>
  <c r="M156"/>
  <c r="G70"/>
  <c r="J174"/>
  <c r="G130"/>
  <c r="M15"/>
  <c r="M60"/>
  <c r="G132"/>
  <c r="M132"/>
  <c r="J64"/>
  <c r="M84"/>
  <c r="G140"/>
  <c r="G181"/>
  <c r="M181"/>
  <c r="J119"/>
  <c r="J72"/>
  <c r="J110"/>
  <c r="M178"/>
  <c r="M89"/>
  <c r="M57"/>
  <c r="M116"/>
  <c r="J159"/>
  <c r="G157"/>
  <c r="G46"/>
  <c r="G176"/>
  <c r="J20"/>
  <c r="G28"/>
  <c r="J147"/>
  <c r="M36"/>
  <c r="M141"/>
  <c r="M169"/>
  <c r="G151"/>
  <c r="G42"/>
  <c r="J96"/>
  <c r="G55"/>
  <c r="J105"/>
  <c r="J152"/>
  <c r="J139"/>
  <c r="G149"/>
  <c r="J24"/>
  <c r="J51"/>
  <c r="G97"/>
  <c r="M39"/>
  <c r="G18"/>
  <c r="G72"/>
  <c r="J178"/>
  <c r="J167"/>
  <c r="M12"/>
  <c r="J57"/>
  <c r="M44"/>
  <c r="J28"/>
  <c r="J141"/>
  <c r="G122"/>
  <c r="G106"/>
  <c r="G90"/>
  <c r="G14"/>
  <c r="M133"/>
  <c r="G128"/>
  <c r="G87"/>
  <c r="J58"/>
  <c r="J61"/>
  <c r="J35"/>
  <c r="G126"/>
  <c r="J82"/>
  <c r="J47"/>
  <c r="J172"/>
  <c r="G10"/>
  <c r="M62"/>
  <c r="G134"/>
  <c r="G13"/>
  <c r="J84"/>
  <c r="G164"/>
  <c r="G110"/>
  <c r="M159"/>
  <c r="M48"/>
  <c r="G147"/>
  <c r="J169"/>
  <c r="G74"/>
  <c r="J158"/>
  <c r="J16"/>
  <c r="M14"/>
  <c r="M128"/>
  <c r="M52"/>
  <c r="G68"/>
  <c r="M95"/>
  <c r="M114"/>
  <c r="M94"/>
  <c r="G105"/>
  <c r="M88"/>
  <c r="G69"/>
  <c r="G59"/>
  <c r="J37"/>
  <c r="M17"/>
  <c r="G24"/>
  <c r="G38"/>
  <c r="J146"/>
  <c r="J8"/>
  <c r="G67"/>
  <c r="G153"/>
  <c r="G80"/>
  <c r="M174"/>
  <c r="G154"/>
  <c r="G33"/>
  <c r="J15"/>
  <c r="J19"/>
  <c r="M13"/>
  <c r="M25"/>
  <c r="J140"/>
  <c r="J129"/>
  <c r="J144"/>
  <c r="M164"/>
  <c r="M180"/>
  <c r="G104"/>
  <c r="G12"/>
  <c r="J137"/>
  <c r="J34"/>
  <c r="J45"/>
  <c r="M46"/>
  <c r="M20"/>
  <c r="G26"/>
  <c r="G161"/>
  <c r="J81"/>
  <c r="J151"/>
  <c r="M101"/>
  <c r="J168"/>
  <c r="M115"/>
  <c r="M43"/>
  <c r="J74"/>
  <c r="G79"/>
  <c r="G173"/>
  <c r="M158"/>
  <c r="J41"/>
  <c r="G185"/>
  <c r="M16"/>
  <c r="J76"/>
  <c r="G65"/>
  <c r="M32"/>
  <c r="J50"/>
  <c r="M22"/>
  <c r="J27"/>
  <c r="J73"/>
  <c r="G96"/>
  <c r="M96"/>
  <c r="M87"/>
  <c r="J68"/>
  <c r="G183"/>
  <c r="J55"/>
  <c r="G160"/>
  <c r="M160"/>
  <c r="J75"/>
  <c r="J78"/>
  <c r="G109"/>
  <c r="M109"/>
  <c r="M171"/>
  <c r="J121"/>
  <c r="G152"/>
  <c r="G139"/>
  <c r="M139"/>
  <c r="M126"/>
  <c r="J59"/>
  <c r="G131"/>
  <c r="G124"/>
  <c r="M149"/>
  <c r="J113"/>
  <c r="J86"/>
  <c r="G49"/>
  <c r="M49"/>
  <c r="M53"/>
  <c r="J38"/>
  <c r="G51"/>
  <c r="G30"/>
  <c r="M8"/>
  <c r="M10"/>
  <c r="J80"/>
  <c r="G136"/>
  <c r="J70"/>
  <c r="G92"/>
  <c r="M92"/>
  <c r="M130"/>
  <c r="J33"/>
  <c r="G54"/>
  <c r="G60"/>
  <c r="M19"/>
  <c r="J132"/>
  <c r="J21"/>
  <c r="G108"/>
  <c r="G9"/>
  <c r="M140"/>
  <c r="J165"/>
  <c r="M129"/>
  <c r="J18"/>
  <c r="M144"/>
  <c r="J181"/>
  <c r="J85"/>
  <c r="G102"/>
  <c r="M102"/>
  <c r="M110"/>
  <c r="M125"/>
  <c r="J12"/>
  <c r="G89"/>
  <c r="J116"/>
  <c r="G159"/>
  <c r="G145"/>
  <c r="M45"/>
  <c r="J44"/>
  <c r="J176"/>
  <c r="G56"/>
  <c r="M56"/>
  <c r="M28"/>
  <c r="M147"/>
  <c r="M127"/>
  <c r="J161"/>
  <c r="G141"/>
  <c r="G29"/>
  <c r="M151"/>
  <c r="J71"/>
  <c r="G168"/>
  <c r="G143"/>
  <c r="J93"/>
  <c r="M106"/>
  <c r="M90"/>
  <c r="J32"/>
  <c r="G175"/>
  <c r="M107"/>
  <c r="G121"/>
  <c r="J120"/>
  <c r="J149"/>
  <c r="M182"/>
  <c r="G98"/>
  <c r="G23"/>
  <c r="J173"/>
  <c r="J185"/>
  <c r="J65"/>
  <c r="G117"/>
  <c r="M73"/>
  <c r="G148"/>
  <c r="M55"/>
  <c r="M78"/>
  <c r="G63"/>
  <c r="J124"/>
  <c r="M86"/>
  <c r="G112"/>
  <c r="J30"/>
  <c r="G156"/>
  <c r="M70"/>
  <c r="G39"/>
  <c r="J60"/>
  <c r="M21"/>
  <c r="J9"/>
  <c r="M85"/>
  <c r="G167"/>
  <c r="J145"/>
  <c r="M176"/>
  <c r="G36"/>
  <c r="G77"/>
  <c r="J29"/>
  <c r="R12" i="6"/>
  <c r="Q12"/>
  <c r="L12"/>
  <c r="K12"/>
  <c r="I12"/>
  <c r="H12"/>
  <c r="P8"/>
  <c r="S8" s="1"/>
  <c r="J8"/>
  <c r="G8"/>
  <c r="P7"/>
  <c r="S7" s="1"/>
  <c r="J7"/>
  <c r="G7"/>
  <c r="P9"/>
  <c r="J9"/>
  <c r="G9"/>
  <c r="P11"/>
  <c r="S11" s="1"/>
  <c r="J11"/>
  <c r="G11"/>
  <c r="P10"/>
  <c r="S10" s="1"/>
  <c r="J10"/>
  <c r="G10"/>
  <c r="R23" i="5"/>
  <c r="Q23"/>
  <c r="L23"/>
  <c r="K23"/>
  <c r="I23"/>
  <c r="H23"/>
  <c r="P22"/>
  <c r="S22" s="1"/>
  <c r="J22"/>
  <c r="G22"/>
  <c r="P20"/>
  <c r="S20" s="1"/>
  <c r="J20"/>
  <c r="G20"/>
  <c r="P21"/>
  <c r="S21" s="1"/>
  <c r="J21"/>
  <c r="G21"/>
  <c r="P10"/>
  <c r="S10" s="1"/>
  <c r="J10"/>
  <c r="G10"/>
  <c r="P18"/>
  <c r="S18" s="1"/>
  <c r="J18"/>
  <c r="G18"/>
  <c r="P16"/>
  <c r="S16" s="1"/>
  <c r="J16"/>
  <c r="G16"/>
  <c r="P12"/>
  <c r="S12" s="1"/>
  <c r="J12"/>
  <c r="G12"/>
  <c r="P13"/>
  <c r="S13" s="1"/>
  <c r="J13"/>
  <c r="G13"/>
  <c r="P11"/>
  <c r="S11" s="1"/>
  <c r="J11"/>
  <c r="G11"/>
  <c r="P7"/>
  <c r="S7" s="1"/>
  <c r="J7"/>
  <c r="G7"/>
  <c r="P14"/>
  <c r="S14" s="1"/>
  <c r="J14"/>
  <c r="G14"/>
  <c r="P19"/>
  <c r="S19" s="1"/>
  <c r="J19"/>
  <c r="P9"/>
  <c r="S9" s="1"/>
  <c r="J9"/>
  <c r="G9"/>
  <c r="P8"/>
  <c r="S8" s="1"/>
  <c r="J8"/>
  <c r="G8"/>
  <c r="P15"/>
  <c r="J15"/>
  <c r="G15"/>
  <c r="P17"/>
  <c r="S17" s="1"/>
  <c r="J17"/>
  <c r="G17"/>
  <c r="P28" i="4"/>
  <c r="S28" s="1"/>
  <c r="M28"/>
  <c r="J28"/>
  <c r="G28"/>
  <c r="P27"/>
  <c r="S27" s="1"/>
  <c r="M27"/>
  <c r="J27"/>
  <c r="G27"/>
  <c r="P32"/>
  <c r="S32" s="1"/>
  <c r="M32"/>
  <c r="J32"/>
  <c r="G32"/>
  <c r="Q16"/>
  <c r="P16" s="1"/>
  <c r="S16" s="1"/>
  <c r="N16"/>
  <c r="M16" s="1"/>
  <c r="K16"/>
  <c r="J16" s="1"/>
  <c r="H16"/>
  <c r="G16" s="1"/>
  <c r="Q20"/>
  <c r="P20" s="1"/>
  <c r="S20" s="1"/>
  <c r="N20"/>
  <c r="M20" s="1"/>
  <c r="K20"/>
  <c r="J20" s="1"/>
  <c r="H20"/>
  <c r="G20" s="1"/>
  <c r="P29"/>
  <c r="S29" s="1"/>
  <c r="N29"/>
  <c r="M29" s="1"/>
  <c r="K29"/>
  <c r="J29" s="1"/>
  <c r="H29"/>
  <c r="G29" s="1"/>
  <c r="P31"/>
  <c r="S31" s="1"/>
  <c r="N31"/>
  <c r="M31" s="1"/>
  <c r="K31"/>
  <c r="J31" s="1"/>
  <c r="H31"/>
  <c r="G31" s="1"/>
  <c r="Q24"/>
  <c r="P24" s="1"/>
  <c r="S24" s="1"/>
  <c r="N24"/>
  <c r="M24" s="1"/>
  <c r="K24"/>
  <c r="J24" s="1"/>
  <c r="H24"/>
  <c r="G24" s="1"/>
  <c r="Q22"/>
  <c r="P22" s="1"/>
  <c r="S22" s="1"/>
  <c r="N22"/>
  <c r="M22" s="1"/>
  <c r="K22"/>
  <c r="J22" s="1"/>
  <c r="H22"/>
  <c r="G22" s="1"/>
  <c r="Q26"/>
  <c r="P26" s="1"/>
  <c r="S26" s="1"/>
  <c r="N26"/>
  <c r="M26" s="1"/>
  <c r="K26"/>
  <c r="J26" s="1"/>
  <c r="H26"/>
  <c r="G26" s="1"/>
  <c r="P30"/>
  <c r="S30" s="1"/>
  <c r="M30"/>
  <c r="J30"/>
  <c r="G30"/>
  <c r="Q17"/>
  <c r="P17" s="1"/>
  <c r="S17" s="1"/>
  <c r="N17"/>
  <c r="M17" s="1"/>
  <c r="K17"/>
  <c r="J17" s="1"/>
  <c r="H17"/>
  <c r="G17" s="1"/>
  <c r="P21"/>
  <c r="S21" s="1"/>
  <c r="M21"/>
  <c r="J21"/>
  <c r="H21"/>
  <c r="G21" s="1"/>
  <c r="P19"/>
  <c r="S19" s="1"/>
  <c r="O19"/>
  <c r="M19" s="1"/>
  <c r="L19"/>
  <c r="I19"/>
  <c r="G19" s="1"/>
  <c r="P23"/>
  <c r="S23" s="1"/>
  <c r="M23"/>
  <c r="J23"/>
  <c r="I23"/>
  <c r="G23" s="1"/>
  <c r="A18"/>
  <c r="A19" s="1"/>
  <c r="A20" s="1"/>
  <c r="A21" s="1"/>
  <c r="A22" s="1"/>
  <c r="A23" s="1"/>
  <c r="A24" s="1"/>
  <c r="P13"/>
  <c r="S13" s="1"/>
  <c r="M13"/>
  <c r="J13"/>
  <c r="G13"/>
  <c r="P18"/>
  <c r="S18" s="1"/>
  <c r="M18"/>
  <c r="J18"/>
  <c r="G18"/>
  <c r="P14"/>
  <c r="S14" s="1"/>
  <c r="M14"/>
  <c r="J14"/>
  <c r="G14"/>
  <c r="Q12"/>
  <c r="P12" s="1"/>
  <c r="S12" s="1"/>
  <c r="M12"/>
  <c r="J12"/>
  <c r="G12"/>
  <c r="P8"/>
  <c r="S8" s="1"/>
  <c r="O8"/>
  <c r="M8" s="1"/>
  <c r="J8"/>
  <c r="H8"/>
  <c r="G8"/>
  <c r="R9"/>
  <c r="Q9"/>
  <c r="O9"/>
  <c r="N9"/>
  <c r="M9" s="1"/>
  <c r="L9"/>
  <c r="K9"/>
  <c r="I9"/>
  <c r="H9"/>
  <c r="R11"/>
  <c r="Q11"/>
  <c r="O11"/>
  <c r="N11"/>
  <c r="M11" s="1"/>
  <c r="L11"/>
  <c r="J11" s="1"/>
  <c r="K11"/>
  <c r="I11"/>
  <c r="H11"/>
  <c r="R10"/>
  <c r="Q10"/>
  <c r="O10"/>
  <c r="N10"/>
  <c r="L10"/>
  <c r="K10"/>
  <c r="I10"/>
  <c r="H10"/>
  <c r="R7"/>
  <c r="Q7"/>
  <c r="O7"/>
  <c r="N7"/>
  <c r="L7"/>
  <c r="K7"/>
  <c r="I7"/>
  <c r="H7"/>
  <c r="P25"/>
  <c r="S25" s="1"/>
  <c r="M25"/>
  <c r="J25"/>
  <c r="G25"/>
  <c r="R15"/>
  <c r="Q15"/>
  <c r="O15"/>
  <c r="N15"/>
  <c r="L15"/>
  <c r="K15"/>
  <c r="I15"/>
  <c r="H15"/>
  <c r="G186" i="9" l="1"/>
  <c r="M186"/>
  <c r="J186"/>
  <c r="J12" i="6"/>
  <c r="P12"/>
  <c r="G12"/>
  <c r="G23" i="5"/>
  <c r="P23"/>
  <c r="S15"/>
  <c r="J23"/>
  <c r="J7" i="4"/>
  <c r="P7"/>
  <c r="S7" s="1"/>
  <c r="J10"/>
  <c r="G10"/>
  <c r="A25"/>
  <c r="A26" s="1"/>
  <c r="A27" s="1"/>
  <c r="M15"/>
  <c r="R33"/>
  <c r="P10"/>
  <c r="J9"/>
  <c r="G15"/>
  <c r="L33"/>
  <c r="G11"/>
  <c r="K33"/>
  <c r="P15"/>
  <c r="S15" s="1"/>
  <c r="M10"/>
  <c r="P9"/>
  <c r="S9" s="1"/>
  <c r="J15"/>
  <c r="O33"/>
  <c r="G7"/>
  <c r="M7"/>
  <c r="P11"/>
  <c r="S11" s="1"/>
  <c r="J19"/>
  <c r="I33"/>
  <c r="G9"/>
  <c r="N33"/>
  <c r="Q33"/>
  <c r="H33"/>
  <c r="J33" l="1"/>
  <c r="A29"/>
  <c r="A30" s="1"/>
  <c r="A31" s="1"/>
  <c r="A32" s="1"/>
  <c r="A28"/>
  <c r="P33"/>
  <c r="S10"/>
  <c r="G33"/>
  <c r="M33"/>
  <c r="R10" i="1"/>
  <c r="R16"/>
  <c r="R7"/>
  <c r="R11"/>
  <c r="Q11"/>
  <c r="N9"/>
  <c r="N11"/>
  <c r="O11"/>
  <c r="O9"/>
  <c r="O8"/>
  <c r="O10"/>
  <c r="N10"/>
  <c r="O7"/>
  <c r="N8"/>
  <c r="L10"/>
  <c r="K10"/>
  <c r="L11"/>
  <c r="K11"/>
  <c r="L7"/>
  <c r="L8"/>
  <c r="K8"/>
  <c r="K7"/>
  <c r="K13"/>
  <c r="I10"/>
  <c r="H10"/>
  <c r="I23"/>
  <c r="H23"/>
  <c r="I17"/>
  <c r="H17"/>
  <c r="I20"/>
  <c r="H20"/>
  <c r="I18"/>
  <c r="H18"/>
  <c r="I22"/>
  <c r="H22"/>
  <c r="I21"/>
  <c r="H21"/>
  <c r="I24"/>
  <c r="H24"/>
  <c r="I8"/>
  <c r="H8"/>
  <c r="I13"/>
  <c r="H13"/>
  <c r="I11" l="1"/>
  <c r="L12"/>
  <c r="R15" l="1"/>
  <c r="R14"/>
  <c r="R9"/>
  <c r="Q16"/>
  <c r="Q12"/>
  <c r="Q14"/>
  <c r="Q9"/>
  <c r="O42"/>
  <c r="L42"/>
  <c r="K42"/>
  <c r="I42"/>
  <c r="H42"/>
  <c r="R32"/>
  <c r="Q32"/>
  <c r="O32"/>
  <c r="N32"/>
  <c r="L32"/>
  <c r="K32"/>
  <c r="I32"/>
  <c r="H32"/>
  <c r="R39"/>
  <c r="Q39"/>
  <c r="O39"/>
  <c r="N39"/>
  <c r="L39"/>
  <c r="K39"/>
  <c r="I39"/>
  <c r="H39"/>
  <c r="Q34"/>
  <c r="N34"/>
  <c r="K34"/>
  <c r="H34"/>
  <c r="R31"/>
  <c r="Q31"/>
  <c r="O31"/>
  <c r="N31"/>
  <c r="L31"/>
  <c r="K31"/>
  <c r="I31"/>
  <c r="H3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16"/>
  <c r="R35"/>
  <c r="Q35"/>
  <c r="O35"/>
  <c r="N35"/>
  <c r="L35"/>
  <c r="K35"/>
  <c r="I35"/>
  <c r="H35"/>
  <c r="R33"/>
  <c r="O33"/>
  <c r="L33"/>
  <c r="I33"/>
  <c r="R23"/>
  <c r="Q23"/>
  <c r="O23"/>
  <c r="N23"/>
  <c r="L23"/>
  <c r="K23"/>
  <c r="R27"/>
  <c r="Q27"/>
  <c r="O27"/>
  <c r="N27"/>
  <c r="L27"/>
  <c r="K27"/>
  <c r="I27"/>
  <c r="H27"/>
  <c r="R30"/>
  <c r="Q30"/>
  <c r="N30"/>
  <c r="O30"/>
  <c r="L30"/>
  <c r="K30"/>
  <c r="I30"/>
  <c r="H30"/>
  <c r="R24"/>
  <c r="Q24"/>
  <c r="L24"/>
  <c r="O24"/>
  <c r="N24"/>
  <c r="K24"/>
  <c r="R41"/>
  <c r="Q41"/>
  <c r="O41"/>
  <c r="N41"/>
  <c r="L41"/>
  <c r="K41"/>
  <c r="I41"/>
  <c r="H41"/>
  <c r="R29"/>
  <c r="O29"/>
  <c r="N29"/>
  <c r="L29"/>
  <c r="K29"/>
  <c r="I29"/>
  <c r="H29"/>
  <c r="R28"/>
  <c r="Q28"/>
  <c r="O28"/>
  <c r="N28"/>
  <c r="L28"/>
  <c r="K28"/>
  <c r="I28"/>
  <c r="H28"/>
  <c r="R22"/>
  <c r="Q22"/>
  <c r="O22"/>
  <c r="N22"/>
  <c r="L22"/>
  <c r="K22"/>
  <c r="R21"/>
  <c r="Q21"/>
  <c r="O21"/>
  <c r="N21"/>
  <c r="L21"/>
  <c r="K21"/>
  <c r="R20"/>
  <c r="Q20"/>
  <c r="O20"/>
  <c r="N20"/>
  <c r="L20"/>
  <c r="K20"/>
  <c r="R13"/>
  <c r="Q13"/>
  <c r="O13"/>
  <c r="N13"/>
  <c r="L13"/>
  <c r="R26"/>
  <c r="Q26"/>
  <c r="O26"/>
  <c r="N26"/>
  <c r="L26"/>
  <c r="K26"/>
  <c r="I26"/>
  <c r="H26"/>
  <c r="R18"/>
  <c r="Q18"/>
  <c r="O18"/>
  <c r="N18"/>
  <c r="L18"/>
  <c r="K18"/>
  <c r="R19"/>
  <c r="Q19"/>
  <c r="O19"/>
  <c r="N19"/>
  <c r="L19"/>
  <c r="K19"/>
  <c r="I19"/>
  <c r="H19"/>
  <c r="Q10" l="1"/>
  <c r="R8"/>
  <c r="Q8"/>
  <c r="Q7"/>
  <c r="R12"/>
  <c r="R37"/>
  <c r="R36"/>
  <c r="R45"/>
  <c r="R17"/>
  <c r="R25"/>
  <c r="Q44"/>
  <c r="Q37"/>
  <c r="Q36"/>
  <c r="Q40"/>
  <c r="Q43"/>
  <c r="Q38"/>
  <c r="Q17"/>
  <c r="P27" l="1"/>
  <c r="P28"/>
  <c r="P31"/>
  <c r="P19"/>
  <c r="S19" s="1"/>
  <c r="P41"/>
  <c r="S13" s="1"/>
  <c r="P25"/>
  <c r="P34"/>
  <c r="P23"/>
  <c r="S23" s="1"/>
  <c r="P26"/>
  <c r="P35"/>
  <c r="P39"/>
  <c r="P42"/>
  <c r="P33"/>
  <c r="S32" s="1"/>
  <c r="P30"/>
  <c r="P17"/>
  <c r="P38"/>
  <c r="P20"/>
  <c r="P32"/>
  <c r="P43"/>
  <c r="P21"/>
  <c r="P29"/>
  <c r="S30" s="1"/>
  <c r="P40"/>
  <c r="P45"/>
  <c r="P18"/>
  <c r="P22"/>
  <c r="P13"/>
  <c r="P24"/>
  <c r="P36"/>
  <c r="P37"/>
  <c r="S40" s="1"/>
  <c r="P46"/>
  <c r="P47"/>
  <c r="P44"/>
  <c r="J47"/>
  <c r="M27"/>
  <c r="M28"/>
  <c r="M31"/>
  <c r="M19"/>
  <c r="M41"/>
  <c r="M25"/>
  <c r="M34"/>
  <c r="M23"/>
  <c r="M26"/>
  <c r="M35"/>
  <c r="M39"/>
  <c r="M42"/>
  <c r="M33"/>
  <c r="M30"/>
  <c r="M17"/>
  <c r="M38"/>
  <c r="M20"/>
  <c r="M32"/>
  <c r="M43"/>
  <c r="M21"/>
  <c r="M29"/>
  <c r="M40"/>
  <c r="M45"/>
  <c r="M18"/>
  <c r="M22"/>
  <c r="M13"/>
  <c r="M24"/>
  <c r="M36"/>
  <c r="M37"/>
  <c r="M46"/>
  <c r="M47"/>
  <c r="M44"/>
  <c r="J27"/>
  <c r="J28"/>
  <c r="J31"/>
  <c r="J19"/>
  <c r="J41"/>
  <c r="J25"/>
  <c r="J34"/>
  <c r="J23"/>
  <c r="J26"/>
  <c r="J35"/>
  <c r="J39"/>
  <c r="J42"/>
  <c r="J33"/>
  <c r="J30"/>
  <c r="J17"/>
  <c r="J38"/>
  <c r="J20"/>
  <c r="J32"/>
  <c r="J43"/>
  <c r="J21"/>
  <c r="J29"/>
  <c r="J40"/>
  <c r="J45"/>
  <c r="J18"/>
  <c r="J22"/>
  <c r="J13"/>
  <c r="J24"/>
  <c r="J36"/>
  <c r="J37"/>
  <c r="J46"/>
  <c r="J44"/>
  <c r="P8"/>
  <c r="P10"/>
  <c r="P15"/>
  <c r="P16"/>
  <c r="P7"/>
  <c r="P12"/>
  <c r="P14"/>
  <c r="P9"/>
  <c r="R48"/>
  <c r="Q48"/>
  <c r="G28"/>
  <c r="G27"/>
  <c r="K48"/>
  <c r="L48"/>
  <c r="G18"/>
  <c r="G22"/>
  <c r="G13"/>
  <c r="G24"/>
  <c r="G36"/>
  <c r="G37"/>
  <c r="G46"/>
  <c r="G47"/>
  <c r="G20"/>
  <c r="G32"/>
  <c r="G43"/>
  <c r="G21"/>
  <c r="G29"/>
  <c r="G40"/>
  <c r="G45"/>
  <c r="G44"/>
  <c r="G38"/>
  <c r="G31"/>
  <c r="G19"/>
  <c r="G41"/>
  <c r="G25"/>
  <c r="G34"/>
  <c r="G23"/>
  <c r="G26"/>
  <c r="G35"/>
  <c r="G39"/>
  <c r="G42"/>
  <c r="G33"/>
  <c r="G30"/>
  <c r="G17"/>
  <c r="G8"/>
  <c r="M10"/>
  <c r="J10"/>
  <c r="N7"/>
  <c r="J7"/>
  <c r="I7"/>
  <c r="H7"/>
  <c r="O12"/>
  <c r="O48" s="1"/>
  <c r="N12"/>
  <c r="K12"/>
  <c r="I12"/>
  <c r="G12" s="1"/>
  <c r="H12"/>
  <c r="H11"/>
  <c r="M9"/>
  <c r="M14"/>
  <c r="M7"/>
  <c r="M16"/>
  <c r="M15"/>
  <c r="M8"/>
  <c r="J9"/>
  <c r="J14"/>
  <c r="J12"/>
  <c r="J16"/>
  <c r="J15"/>
  <c r="J8"/>
  <c r="G9"/>
  <c r="G14"/>
  <c r="G16"/>
  <c r="G15"/>
  <c r="H48" l="1"/>
  <c r="S34"/>
  <c r="S39"/>
  <c r="S47"/>
  <c r="S15"/>
  <c r="S17"/>
  <c r="S14"/>
  <c r="S31"/>
  <c r="S41"/>
  <c r="S9"/>
  <c r="S42"/>
  <c r="S16"/>
  <c r="S21"/>
  <c r="S44"/>
  <c r="S12"/>
  <c r="S22"/>
  <c r="S35"/>
  <c r="S33"/>
  <c r="S10"/>
  <c r="S8"/>
  <c r="S26"/>
  <c r="S46"/>
  <c r="S36"/>
  <c r="S28"/>
  <c r="S18"/>
  <c r="S38"/>
  <c r="S20"/>
  <c r="S27"/>
  <c r="S37"/>
  <c r="S29"/>
  <c r="S25"/>
  <c r="S24"/>
  <c r="M12"/>
  <c r="N48"/>
  <c r="I48"/>
  <c r="P11"/>
  <c r="S11" s="1"/>
  <c r="M11"/>
  <c r="J11"/>
  <c r="J48" s="1"/>
  <c r="G10"/>
  <c r="G7"/>
  <c r="G11"/>
  <c r="M48" l="1"/>
  <c r="P48"/>
  <c r="S7"/>
  <c r="G48"/>
  <c r="A4" i="12"/>
  <c r="A5" s="1"/>
  <c r="A6" s="1"/>
  <c r="A7" s="1"/>
  <c r="A8" s="1"/>
  <c r="A9" s="1"/>
  <c r="A10" s="1"/>
  <c r="A11" s="1"/>
</calcChain>
</file>

<file path=xl/sharedStrings.xml><?xml version="1.0" encoding="utf-8"?>
<sst xmlns="http://schemas.openxmlformats.org/spreadsheetml/2006/main" count="1149" uniqueCount="135">
  <si>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</si>
  <si>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</si>
  <si>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</si>
  <si>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</si>
  <si>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</si>
  <si>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</si>
  <si>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</si>
  <si>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</si>
  <si>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</si>
  <si>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</si>
  <si>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Задолженность населения за ЖКУ по состоянию на 01.01.2018</t>
  </si>
  <si>
    <t>Задолженность населения за ЖКУ по состоянию на 01.07.2018</t>
  </si>
  <si>
    <t>Задолженность населения за ЖКУ по состоянию на 01.08.2018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</si>
  <si>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</si>
  <si>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</si>
  <si>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</si>
  <si>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</si>
  <si>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</si>
  <si>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</si>
  <si>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</si>
  <si>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</si>
  <si>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</si>
  <si>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</si>
  <si>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</si>
  <si>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</si>
  <si>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</si>
  <si>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</si>
  <si>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</si>
  <si>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</si>
  <si>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</si>
  <si>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</si>
  <si>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</si>
  <si>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</si>
  <si>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</si>
  <si>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</si>
  <si>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</si>
  <si>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</si>
  <si>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</si>
  <si>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</si>
  <si>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</si>
  <si>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</si>
  <si>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>Задолженность населения за ЖКУ по состоянию на 01.09.2018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</si>
  <si>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</si>
  <si>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</si>
  <si>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</si>
  <si>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</si>
  <si>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</si>
  <si>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</si>
  <si>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</si>
  <si>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</si>
  <si>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</si>
  <si>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</si>
  <si>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 xml:space="preserve">Заполярный </t>
  </si>
  <si>
    <t>ООО "Коми-Сервис"</t>
  </si>
  <si>
    <t>Хатанзейского</t>
  </si>
  <si>
    <t>Меньшикова</t>
  </si>
  <si>
    <t xml:space="preserve">Торговый проезд </t>
  </si>
  <si>
    <t>Оленная</t>
  </si>
  <si>
    <t>им. Проф. Г.А. Чернова</t>
  </si>
  <si>
    <t>60 лет СССР</t>
  </si>
  <si>
    <t>ИТОГО:</t>
  </si>
  <si>
    <t>ООО "Наш Дом"</t>
  </si>
  <si>
    <t>Сущинского</t>
  </si>
  <si>
    <t>ООО УК "Уютный Дом"</t>
  </si>
  <si>
    <t>им.В.И. Ленина</t>
  </si>
  <si>
    <t>пр.Им.кап.Матросова</t>
  </si>
  <si>
    <t>Наименование УО</t>
  </si>
  <si>
    <t>Наименование улицы</t>
  </si>
  <si>
    <t>Корпус, литера</t>
  </si>
  <si>
    <t>УК"Нарьян-Марстрой"</t>
  </si>
  <si>
    <t xml:space="preserve">60 лет СССР </t>
  </si>
  <si>
    <t xml:space="preserve">Матросова </t>
  </si>
  <si>
    <t xml:space="preserve">Меньшикова </t>
  </si>
  <si>
    <t>Ненецкая</t>
  </si>
  <si>
    <t>Первомайская</t>
  </si>
  <si>
    <t>Рыбников</t>
  </si>
  <si>
    <t xml:space="preserve">Тыко Вылка </t>
  </si>
  <si>
    <t>ООО УК "ПОК и ТС"</t>
  </si>
  <si>
    <t xml:space="preserve"> Меньшикова</t>
  </si>
  <si>
    <t xml:space="preserve"> Ленина</t>
  </si>
  <si>
    <t xml:space="preserve"> Рыбников</t>
  </si>
  <si>
    <t>Итого</t>
  </si>
  <si>
    <t>Количество квартир</t>
  </si>
  <si>
    <t xml:space="preserve"> 60 лет Октября</t>
  </si>
  <si>
    <t>В</t>
  </si>
  <si>
    <t>Заводская</t>
  </si>
  <si>
    <t xml:space="preserve"> Заполярный пер</t>
  </si>
  <si>
    <t>Калмыкова</t>
  </si>
  <si>
    <t>Комсомольская</t>
  </si>
  <si>
    <t xml:space="preserve"> Лесной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</si>
  <si>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</si>
  <si>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</si>
  <si>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</si>
  <si>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</si>
  <si>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</si>
  <si>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</si>
  <si>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</si>
  <si>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</si>
  <si>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>Юбилейная</t>
  </si>
  <si>
    <t>Южная</t>
  </si>
  <si>
    <t>Явтысого</t>
  </si>
  <si>
    <t>Нарьян-Марский МУ ПОК и ТС</t>
  </si>
  <si>
    <t>а</t>
  </si>
  <si>
    <t>б</t>
  </si>
  <si>
    <t>Матросова</t>
  </si>
  <si>
    <t>ООО "АВРОРА"</t>
  </si>
  <si>
    <t>Тыко-Вылко</t>
  </si>
  <si>
    <t>60-летия Октября</t>
  </si>
  <si>
    <t>Полярная</t>
  </si>
  <si>
    <t>(Информация сформирована с учетом многоквартирных домов, которые на сегодняшний день находятся под управлением других управляющих организаций.)</t>
  </si>
  <si>
    <t>(Информация сформирована без учета многоквартирных домов, которые на сегодняшний день находятся под управлением других управляющих организаций.)</t>
  </si>
  <si>
    <t xml:space="preserve">Задолженность за ЖКУ с квартиры  </t>
  </si>
  <si>
    <t>Примечание:</t>
  </si>
  <si>
    <t>По состоянию на 01.09.2018 максимальная задолженность за ЖКУ сформирована по многоквартирному дому по адресу ул. Ленина, д. 21А, (98 квартир). Учитывая задолженность за ЖКУ с квартиры, то максимальная задолженность сформирована по многоквартирному дому по адресу ул. Титова, д. 6 (16 квартир).</t>
  </si>
  <si>
    <t xml:space="preserve">По состоянию на 01.09.2018 максимальная задолженность за ЖКУ сформирована по многоквартирному дому по адресу ул. Выучейского, д. 12 (96 квартир). </t>
  </si>
  <si>
    <t>По состоянию на 01.09.2018 максимальная задолженность за ЖКУ сформирована по многоквартирному дому по адресу ул. Хатанзейского, д. 13 (70 квартир).  Учитывая задолженность за ЖКУ с квартиры, то максимальная задолженность сформирована по многоквартирному дому по адресу ул. Ленина, д. 20 (19 квартир).</t>
  </si>
  <si>
    <t xml:space="preserve">По состоянию на 01.09.2018 максимальная задолженность за ЖКУ сформирована по многоквартирному дому по адресу ул. Сущинского, д. 4 (140 квартир).  </t>
  </si>
  <si>
    <t>По состоянию на 01.09.2018 максимальная задолженность за ЖКУ сформирована по многоквартирному дому по адресу ул. Ленина, д. 38 (143 квартиры).  Учитывая задолженность за ЖКУ с квартиры, то максимальная задолженность сформирована по многоквартирному дому по адресу пр. им. капитана Матросова, д. 8 (98 квартир).</t>
  </si>
  <si>
    <t>(Информация сформирована по многоквартирным домам, которые на сегодняшний день находятся под управлением других управляющих организаций.)</t>
  </si>
  <si>
    <t>По состоянию на 01.09.2018 максимальная задолженность за ЖКУ сформирована по многоквартирному дому по адресу ул. Выучейского, д. 12 (96 квартир).  Учитывая задолженность за ЖКУ с квартиры, то максимальная задолженность сформирована по многоквартирному дому по адресу ул. Рабочая, д. 39 (18 квартир).</t>
  </si>
  <si>
    <t>По состоянию на 01.09.2018 максимальная задолженность за ЖКУ сформирована по многоквартирному дому по адресу ул. Авиаторов, д. 22 (80 квартир).  Учитывая задолженность за ЖКУ с квартиры, то максимальная задолженность сформирована по многоквартирному дому по адресу ул. Заводская, д. 13 (8 квартир).</t>
  </si>
  <si>
    <t xml:space="preserve">ТСЖ "Дворянское гнездо" </t>
  </si>
  <si>
    <t xml:space="preserve">По состоянию на 01.09.2018 максимальная задолженность за ЖКУ сформирована по многоквартирному дому по адресу ул. Выучейского, д. 36 (66 квартир).  </t>
  </si>
  <si>
    <t>Рейтинг задолженности населения, проживающего в многоквартирныхжомах, за жилищно-коммунальные услуги.</t>
  </si>
  <si>
    <t>По состоянию на 01.09.2018 максимальная задолженность за ЖКУ сформирована по многоквартирному дому по адресу ул. Выучейского, д. 10, (72 квартиры). Учитывая задолженность за ЖКУ с квартиры, то максимальная задолженность сформирована по многоквартирному дому по адресу ул. Зеленая , д. 17А (8 квартир).</t>
  </si>
  <si>
    <t xml:space="preserve">Наименование организации </t>
  </si>
  <si>
    <t>ООО УК"Нарьян-Марстрой"</t>
  </si>
  <si>
    <t>х</t>
  </si>
  <si>
    <t xml:space="preserve">Количество многоквартирных домов в управлении </t>
  </si>
  <si>
    <t xml:space="preserve">Задолженность населения за ЖКУ </t>
  </si>
  <si>
    <t>Задолженность населения за ЖКУ  в расчете на 1 квартиру</t>
  </si>
  <si>
    <t>ООО "Содружество"</t>
  </si>
  <si>
    <t>данные не предоставлены</t>
  </si>
  <si>
    <t>Рейтинг задолженности населения, проживающего в многоквартирных домах, за жилищно-коммунальные услуги по состоянию на 01.09.2018, в разрезе действующих управляющих организаций (тыс. руб.)</t>
  </si>
  <si>
    <t>Количество квартир в многоквартирном доме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</si>
</sst>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#,##0.00\ _₽"/>
    <numFmt numFmtId="167" formatCode="0.0"/>
    <numFmt numFmtId="168" formatCode="#,##0.0"/>
  </numFmts>
  <fonts count="4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165" fontId="23" fillId="0" borderId="0" applyFont="0" applyFill="0" applyBorder="0" applyAlignment="0" applyProtection="0"/>
    <xf numFmtId="0" fontId="5" fillId="0" borderId="0"/>
    <xf numFmtId="0" fontId="2" fillId="0" borderId="0"/>
    <xf numFmtId="0" fontId="33" fillId="0" borderId="0"/>
    <xf numFmtId="0" fontId="34" fillId="0" borderId="0"/>
    <xf numFmtId="0" fontId="41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</cellStyleXfs>
  <cellXfs count="291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1" xfId="48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/>
    <xf numFmtId="0" fontId="24" fillId="24" borderId="10" xfId="0" applyFont="1" applyFill="1" applyBorder="1" applyAlignment="1">
      <alignment horizontal="center" vertical="center"/>
    </xf>
    <xf numFmtId="4" fontId="24" fillId="24" borderId="10" xfId="0" applyNumberFormat="1" applyFont="1" applyFill="1" applyBorder="1" applyAlignment="1">
      <alignment horizontal="center" vertical="center"/>
    </xf>
    <xf numFmtId="0" fontId="24" fillId="24" borderId="0" xfId="0" applyFont="1" applyFill="1"/>
    <xf numFmtId="4" fontId="0" fillId="0" borderId="0" xfId="0" applyNumberFormat="1"/>
    <xf numFmtId="4" fontId="0" fillId="24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48"/>
    <xf numFmtId="0" fontId="23" fillId="0" borderId="0" xfId="48" applyAlignment="1">
      <alignment horizontal="right"/>
    </xf>
    <xf numFmtId="0" fontId="3" fillId="0" borderId="11" xfId="52" applyFont="1" applyBorder="1" applyAlignment="1">
      <alignment horizontal="center" vertical="center" wrapText="1"/>
    </xf>
    <xf numFmtId="0" fontId="23" fillId="0" borderId="10" xfId="48" applyBorder="1" applyAlignment="1">
      <alignment horizontal="center" vertical="center"/>
    </xf>
    <xf numFmtId="0" fontId="23" fillId="0" borderId="10" xfId="48" applyBorder="1"/>
    <xf numFmtId="0" fontId="23" fillId="0" borderId="10" xfId="48" applyBorder="1" applyAlignment="1">
      <alignment horizontal="center"/>
    </xf>
    <xf numFmtId="0" fontId="25" fillId="0" borderId="0" xfId="48" applyFont="1"/>
    <xf numFmtId="0" fontId="5" fillId="0" borderId="0" xfId="48" applyFont="1"/>
    <xf numFmtId="0" fontId="27" fillId="0" borderId="0" xfId="48" applyFont="1"/>
    <xf numFmtId="0" fontId="28" fillId="0" borderId="0" xfId="48" applyFont="1" applyFill="1" applyBorder="1" applyAlignment="1">
      <alignment vertical="center" wrapText="1"/>
    </xf>
    <xf numFmtId="0" fontId="28" fillId="0" borderId="21" xfId="48" applyFont="1" applyBorder="1" applyAlignment="1">
      <alignment horizontal="center" vertical="center" wrapText="1"/>
    </xf>
    <xf numFmtId="0" fontId="28" fillId="0" borderId="20" xfId="48" applyFont="1" applyBorder="1" applyAlignment="1">
      <alignment horizontal="center" vertical="center" wrapText="1"/>
    </xf>
    <xf numFmtId="0" fontId="28" fillId="0" borderId="10" xfId="48" applyFont="1" applyBorder="1" applyAlignment="1">
      <alignment horizontal="center" vertical="center" wrapText="1"/>
    </xf>
    <xf numFmtId="0" fontId="28" fillId="0" borderId="0" xfId="48" applyFont="1" applyFill="1" applyBorder="1" applyAlignment="1">
      <alignment horizontal="center" vertical="center" wrapText="1"/>
    </xf>
    <xf numFmtId="0" fontId="23" fillId="0" borderId="10" xfId="48" applyFill="1" applyBorder="1" applyAlignment="1">
      <alignment horizontal="center"/>
    </xf>
    <xf numFmtId="0" fontId="23" fillId="0" borderId="10" xfId="48" applyFill="1" applyBorder="1" applyAlignment="1">
      <alignment wrapText="1"/>
    </xf>
    <xf numFmtId="0" fontId="3" fillId="0" borderId="10" xfId="48" applyFont="1" applyFill="1" applyBorder="1" applyAlignment="1" applyProtection="1">
      <alignment horizontal="left"/>
      <protection hidden="1"/>
    </xf>
    <xf numFmtId="0" fontId="29" fillId="0" borderId="10" xfId="48" applyFont="1" applyFill="1" applyBorder="1" applyAlignment="1" applyProtection="1">
      <alignment horizontal="center"/>
      <protection hidden="1"/>
    </xf>
    <xf numFmtId="0" fontId="3" fillId="0" borderId="10" xfId="48" applyFont="1" applyFill="1" applyBorder="1" applyAlignment="1" applyProtection="1">
      <alignment horizontal="center"/>
      <protection hidden="1"/>
    </xf>
    <xf numFmtId="166" fontId="23" fillId="0" borderId="10" xfId="48" applyNumberFormat="1" applyFill="1" applyBorder="1"/>
    <xf numFmtId="166" fontId="23" fillId="0" borderId="12" xfId="48" applyNumberFormat="1" applyFill="1" applyBorder="1"/>
    <xf numFmtId="4" fontId="23" fillId="0" borderId="10" xfId="48" applyNumberFormat="1" applyFill="1" applyBorder="1"/>
    <xf numFmtId="4" fontId="23" fillId="0" borderId="10" xfId="48" applyNumberFormat="1" applyBorder="1"/>
    <xf numFmtId="4" fontId="23" fillId="0" borderId="0" xfId="48" applyNumberFormat="1" applyFill="1" applyBorder="1" applyAlignment="1"/>
    <xf numFmtId="4" fontId="23" fillId="0" borderId="0" xfId="48" applyNumberFormat="1" applyFill="1" applyBorder="1"/>
    <xf numFmtId="4" fontId="30" fillId="0" borderId="0" xfId="48" applyNumberFormat="1" applyFont="1" applyFill="1" applyBorder="1"/>
    <xf numFmtId="0" fontId="3" fillId="0" borderId="21" xfId="53" applyFont="1" applyFill="1" applyBorder="1" applyAlignment="1">
      <alignment horizontal="left"/>
    </xf>
    <xf numFmtId="4" fontId="23" fillId="0" borderId="12" xfId="48" applyNumberFormat="1" applyFill="1" applyBorder="1"/>
    <xf numFmtId="4" fontId="5" fillId="0" borderId="0" xfId="48" applyNumberFormat="1" applyFont="1" applyFill="1" applyBorder="1" applyAlignment="1"/>
    <xf numFmtId="166" fontId="23" fillId="0" borderId="10" xfId="48" applyNumberFormat="1" applyFill="1" applyBorder="1" applyAlignment="1"/>
    <xf numFmtId="166" fontId="23" fillId="0" borderId="12" xfId="48" applyNumberFormat="1" applyFill="1" applyBorder="1" applyAlignment="1"/>
    <xf numFmtId="4" fontId="23" fillId="0" borderId="10" xfId="48" applyNumberFormat="1" applyFill="1" applyBorder="1" applyAlignment="1"/>
    <xf numFmtId="4" fontId="23" fillId="0" borderId="12" xfId="48" applyNumberFormat="1" applyFill="1" applyBorder="1" applyAlignment="1"/>
    <xf numFmtId="2" fontId="5" fillId="0" borderId="0" xfId="48" applyNumberFormat="1" applyFont="1" applyFill="1" applyBorder="1" applyAlignment="1">
      <alignment wrapText="1"/>
    </xf>
    <xf numFmtId="2" fontId="23" fillId="0" borderId="0" xfId="48" applyNumberFormat="1" applyFill="1" applyBorder="1" applyAlignment="1">
      <alignment wrapText="1"/>
    </xf>
    <xf numFmtId="2" fontId="23" fillId="0" borderId="0" xfId="48" applyNumberFormat="1" applyFill="1" applyBorder="1" applyAlignment="1">
      <alignment horizontal="center" wrapText="1"/>
    </xf>
    <xf numFmtId="167" fontId="23" fillId="0" borderId="0" xfId="48" applyNumberFormat="1" applyFill="1" applyBorder="1"/>
    <xf numFmtId="0" fontId="23" fillId="0" borderId="0" xfId="48" applyFill="1" applyBorder="1"/>
    <xf numFmtId="166" fontId="23" fillId="0" borderId="22" xfId="48" applyNumberFormat="1" applyFill="1" applyBorder="1"/>
    <xf numFmtId="166" fontId="23" fillId="0" borderId="18" xfId="48" applyNumberFormat="1" applyFill="1" applyBorder="1"/>
    <xf numFmtId="167" fontId="23" fillId="0" borderId="0" xfId="48" applyNumberFormat="1" applyFill="1" applyBorder="1" applyAlignment="1">
      <alignment horizontal="center" wrapText="1"/>
    </xf>
    <xf numFmtId="0" fontId="3" fillId="0" borderId="10" xfId="53" applyFont="1" applyFill="1" applyBorder="1" applyAlignment="1">
      <alignment horizontal="left"/>
    </xf>
    <xf numFmtId="0" fontId="29" fillId="0" borderId="10" xfId="53" applyFont="1" applyFill="1" applyBorder="1" applyAlignment="1">
      <alignment horizontal="center"/>
    </xf>
    <xf numFmtId="4" fontId="5" fillId="0" borderId="0" xfId="48" applyNumberFormat="1" applyFont="1" applyFill="1" applyBorder="1"/>
    <xf numFmtId="0" fontId="29" fillId="0" borderId="10" xfId="53" applyNumberFormat="1" applyFont="1" applyFill="1" applyBorder="1" applyAlignment="1">
      <alignment horizontal="center"/>
    </xf>
    <xf numFmtId="2" fontId="29" fillId="0" borderId="10" xfId="53" applyNumberFormat="1" applyFont="1" applyFill="1" applyBorder="1" applyAlignment="1">
      <alignment horizontal="center"/>
    </xf>
    <xf numFmtId="0" fontId="23" fillId="0" borderId="0" xfId="48" applyBorder="1"/>
    <xf numFmtId="0" fontId="5" fillId="0" borderId="0" xfId="48" applyFont="1" applyBorder="1"/>
    <xf numFmtId="167" fontId="23" fillId="0" borderId="0" xfId="48" applyNumberFormat="1" applyBorder="1"/>
    <xf numFmtId="1" fontId="29" fillId="0" borderId="10" xfId="53" applyNumberFormat="1" applyFont="1" applyFill="1" applyBorder="1" applyAlignment="1">
      <alignment horizontal="center"/>
    </xf>
    <xf numFmtId="1" fontId="3" fillId="0" borderId="10" xfId="53" applyNumberFormat="1" applyFont="1" applyFill="1" applyBorder="1" applyAlignment="1">
      <alignment horizontal="center"/>
    </xf>
    <xf numFmtId="2" fontId="23" fillId="0" borderId="10" xfId="48" applyNumberFormat="1" applyBorder="1"/>
    <xf numFmtId="167" fontId="26" fillId="0" borderId="10" xfId="48" applyNumberFormat="1" applyFont="1" applyFill="1" applyBorder="1"/>
    <xf numFmtId="0" fontId="31" fillId="0" borderId="10" xfId="54" applyFont="1" applyBorder="1" applyAlignment="1">
      <alignment horizontal="center" vertical="center" wrapText="1"/>
    </xf>
    <xf numFmtId="0" fontId="32" fillId="0" borderId="10" xfId="0" applyFont="1" applyBorder="1" applyAlignment="1"/>
    <xf numFmtId="0" fontId="35" fillId="0" borderId="0" xfId="0" applyFont="1"/>
    <xf numFmtId="0" fontId="35" fillId="0" borderId="1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3" fillId="0" borderId="10" xfId="52" applyFont="1" applyBorder="1" applyAlignment="1">
      <alignment horizontal="center" vertical="center" wrapText="1"/>
    </xf>
    <xf numFmtId="3" fontId="0" fillId="0" borderId="10" xfId="0" applyNumberFormat="1" applyFill="1" applyBorder="1"/>
    <xf numFmtId="0" fontId="5" fillId="0" borderId="10" xfId="1" applyFont="1" applyFill="1" applyBorder="1" applyAlignment="1" applyProtection="1">
      <alignment horizontal="left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4" fontId="37" fillId="0" borderId="10" xfId="0" applyNumberFormat="1" applyFont="1" applyBorder="1" applyAlignment="1">
      <alignment horizontal="center" vertical="center"/>
    </xf>
    <xf numFmtId="4" fontId="5" fillId="0" borderId="11" xfId="52" applyNumberFormat="1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/>
    </xf>
    <xf numFmtId="4" fontId="5" fillId="0" borderId="15" xfId="52" applyNumberFormat="1" applyFont="1" applyBorder="1" applyAlignment="1">
      <alignment horizontal="center" vertical="center" wrapText="1"/>
    </xf>
    <xf numFmtId="4" fontId="5" fillId="0" borderId="11" xfId="52" applyNumberFormat="1" applyFont="1" applyFill="1" applyBorder="1" applyAlignment="1">
      <alignment horizontal="center" vertical="center" wrapText="1"/>
    </xf>
    <xf numFmtId="4" fontId="5" fillId="0" borderId="10" xfId="55" applyNumberFormat="1" applyFont="1" applyBorder="1" applyAlignment="1">
      <alignment horizontal="center" vertical="top"/>
    </xf>
    <xf numFmtId="0" fontId="5" fillId="0" borderId="11" xfId="1" applyFont="1" applyFill="1" applyBorder="1" applyAlignment="1" applyProtection="1">
      <alignment horizontal="left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37" fillId="0" borderId="10" xfId="0" applyNumberFormat="1" applyFont="1" applyBorder="1" applyAlignment="1">
      <alignment vertical="top" wrapText="1"/>
    </xf>
    <xf numFmtId="0" fontId="37" fillId="0" borderId="10" xfId="0" applyNumberFormat="1" applyFont="1" applyBorder="1" applyAlignment="1">
      <alignment horizontal="center" vertical="top" wrapText="1"/>
    </xf>
    <xf numFmtId="0" fontId="38" fillId="0" borderId="10" xfId="0" applyNumberFormat="1" applyFont="1" applyBorder="1" applyAlignment="1">
      <alignment vertical="top" wrapText="1"/>
    </xf>
    <xf numFmtId="0" fontId="5" fillId="0" borderId="21" xfId="1" applyFont="1" applyFill="1" applyBorder="1" applyAlignment="1" applyProtection="1">
      <alignment horizontal="left" vertical="center" wrapText="1"/>
      <protection hidden="1"/>
    </xf>
    <xf numFmtId="166" fontId="1" fillId="0" borderId="10" xfId="48" applyNumberFormat="1" applyFont="1" applyBorder="1"/>
    <xf numFmtId="0" fontId="26" fillId="0" borderId="10" xfId="48" applyFont="1" applyBorder="1"/>
    <xf numFmtId="166" fontId="26" fillId="0" borderId="10" xfId="48" applyNumberFormat="1" applyFont="1" applyBorder="1"/>
    <xf numFmtId="0" fontId="26" fillId="0" borderId="0" xfId="48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/>
    <xf numFmtId="0" fontId="26" fillId="0" borderId="10" xfId="48" applyFont="1" applyBorder="1" applyAlignment="1">
      <alignment horizontal="center" vertical="center"/>
    </xf>
    <xf numFmtId="0" fontId="26" fillId="0" borderId="10" xfId="48" applyFont="1" applyBorder="1" applyAlignment="1">
      <alignment horizontal="center"/>
    </xf>
    <xf numFmtId="4" fontId="26" fillId="0" borderId="21" xfId="48" applyNumberFormat="1" applyFont="1" applyBorder="1"/>
    <xf numFmtId="4" fontId="1" fillId="0" borderId="10" xfId="0" applyNumberFormat="1" applyFont="1" applyBorder="1" applyAlignment="1">
      <alignment horizontal="center" vertical="center"/>
    </xf>
    <xf numFmtId="0" fontId="39" fillId="0" borderId="10" xfId="0" applyFont="1" applyBorder="1"/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1" fontId="0" fillId="24" borderId="10" xfId="0" applyNumberFormat="1" applyFill="1" applyBorder="1" applyAlignment="1">
      <alignment horizontal="center" wrapText="1"/>
    </xf>
    <xf numFmtId="1" fontId="5" fillId="24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4" fontId="37" fillId="0" borderId="11" xfId="0" applyNumberFormat="1" applyFont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1" applyFont="1" applyFill="1" applyBorder="1" applyAlignment="1" applyProtection="1">
      <alignment horizontal="left" vertical="center" wrapText="1"/>
      <protection hidden="1"/>
    </xf>
    <xf numFmtId="4" fontId="1" fillId="0" borderId="10" xfId="0" applyNumberFormat="1" applyFont="1" applyBorder="1"/>
    <xf numFmtId="4" fontId="40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Fill="1"/>
    <xf numFmtId="0" fontId="31" fillId="0" borderId="10" xfId="54" applyFont="1" applyFill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31" fillId="0" borderId="12" xfId="54" applyFont="1" applyFill="1" applyBorder="1" applyAlignment="1">
      <alignment horizontal="center" vertical="center" wrapText="1"/>
    </xf>
    <xf numFmtId="0" fontId="3" fillId="0" borderId="15" xfId="5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11" xfId="56" applyFont="1" applyBorder="1" applyAlignment="1">
      <alignment horizontal="center" vertical="center" wrapText="1"/>
    </xf>
    <xf numFmtId="0" fontId="0" fillId="0" borderId="22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48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168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48" applyBorder="1" applyAlignment="1">
      <alignment vertical="center"/>
    </xf>
    <xf numFmtId="0" fontId="23" fillId="0" borderId="0" xfId="48" applyAlignment="1">
      <alignment vertical="center"/>
    </xf>
    <xf numFmtId="4" fontId="23" fillId="0" borderId="10" xfId="48" applyNumberFormat="1" applyBorder="1" applyAlignment="1">
      <alignment vertical="center"/>
    </xf>
    <xf numFmtId="4" fontId="0" fillId="0" borderId="10" xfId="0" applyNumberFormat="1" applyBorder="1"/>
    <xf numFmtId="2" fontId="32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3" fillId="0" borderId="0" xfId="48" applyNumberFormat="1" applyFill="1"/>
    <xf numFmtId="4" fontId="23" fillId="0" borderId="12" xfId="48" applyNumberFormat="1" applyBorder="1"/>
    <xf numFmtId="1" fontId="3" fillId="0" borderId="21" xfId="53" applyNumberFormat="1" applyFont="1" applyFill="1" applyBorder="1" applyAlignment="1">
      <alignment horizontal="center"/>
    </xf>
    <xf numFmtId="0" fontId="3" fillId="0" borderId="0" xfId="48" applyFont="1" applyFill="1" applyAlignment="1" applyProtection="1">
      <alignment horizontal="center"/>
      <protection hidden="1"/>
    </xf>
    <xf numFmtId="1" fontId="3" fillId="0" borderId="0" xfId="53" applyNumberFormat="1" applyFont="1" applyFill="1" applyBorder="1" applyAlignment="1">
      <alignment horizontal="center"/>
    </xf>
    <xf numFmtId="1" fontId="29" fillId="0" borderId="21" xfId="53" applyNumberFormat="1" applyFont="1" applyFill="1" applyBorder="1" applyAlignment="1">
      <alignment horizontal="center" wrapText="1"/>
    </xf>
    <xf numFmtId="4" fontId="23" fillId="0" borderId="10" xfId="48" applyNumberForma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25" borderId="10" xfId="0" applyFill="1" applyBorder="1"/>
    <xf numFmtId="0" fontId="0" fillId="0" borderId="0" xfId="0" applyBorder="1"/>
    <xf numFmtId="0" fontId="5" fillId="0" borderId="0" xfId="48" applyFont="1" applyAlignment="1">
      <alignment horizontal="right"/>
    </xf>
    <xf numFmtId="0" fontId="23" fillId="0" borderId="0" xfId="48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/>
    <xf numFmtId="0" fontId="3" fillId="0" borderId="0" xfId="48" applyFont="1" applyFill="1" applyBorder="1" applyAlignment="1" applyProtection="1">
      <alignment horizontal="center"/>
      <protection hidden="1"/>
    </xf>
    <xf numFmtId="4" fontId="3" fillId="0" borderId="10" xfId="54" applyNumberFormat="1" applyFont="1" applyFill="1" applyBorder="1" applyAlignment="1">
      <alignment horizontal="center" vertical="center" wrapText="1"/>
    </xf>
    <xf numFmtId="0" fontId="31" fillId="0" borderId="10" xfId="55" applyNumberFormat="1" applyFont="1" applyBorder="1" applyAlignment="1">
      <alignment vertical="top" wrapText="1"/>
    </xf>
    <xf numFmtId="4" fontId="0" fillId="0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5" fillId="0" borderId="10" xfId="52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4" fontId="5" fillId="0" borderId="10" xfId="52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/>
    </xf>
    <xf numFmtId="4" fontId="37" fillId="0" borderId="11" xfId="0" applyNumberFormat="1" applyFont="1" applyFill="1" applyBorder="1" applyAlignment="1">
      <alignment horizontal="center" vertical="top" wrapText="1"/>
    </xf>
    <xf numFmtId="4" fontId="31" fillId="0" borderId="11" xfId="55" applyNumberFormat="1" applyFont="1" applyBorder="1" applyAlignment="1">
      <alignment horizontal="center" vertical="top"/>
    </xf>
    <xf numFmtId="4" fontId="37" fillId="0" borderId="11" xfId="0" applyNumberFormat="1" applyFont="1" applyBorder="1" applyAlignment="1">
      <alignment horizontal="center" vertical="top" wrapText="1"/>
    </xf>
    <xf numFmtId="4" fontId="31" fillId="0" borderId="15" xfId="55" applyNumberFormat="1" applyFont="1" applyBorder="1" applyAlignment="1">
      <alignment horizontal="center" vertical="top"/>
    </xf>
    <xf numFmtId="0" fontId="3" fillId="0" borderId="10" xfId="54" applyFont="1" applyFill="1" applyBorder="1" applyAlignment="1">
      <alignment horizontal="center" vertical="center" wrapText="1"/>
    </xf>
    <xf numFmtId="4" fontId="31" fillId="0" borderId="11" xfId="55" applyNumberFormat="1" applyFont="1" applyFill="1" applyBorder="1" applyAlignment="1">
      <alignment horizontal="center" vertical="top"/>
    </xf>
    <xf numFmtId="0" fontId="3" fillId="0" borderId="12" xfId="54" applyFont="1" applyFill="1" applyBorder="1" applyAlignment="1">
      <alignment horizontal="center" vertical="center" wrapText="1"/>
    </xf>
    <xf numFmtId="4" fontId="31" fillId="0" borderId="15" xfId="55" applyNumberFormat="1" applyFont="1" applyFill="1" applyBorder="1" applyAlignment="1">
      <alignment horizontal="center" vertical="top"/>
    </xf>
    <xf numFmtId="0" fontId="23" fillId="25" borderId="10" xfId="48" applyFill="1" applyBorder="1"/>
    <xf numFmtId="0" fontId="23" fillId="25" borderId="10" xfId="48" applyFill="1" applyBorder="1" applyAlignment="1">
      <alignment horizontal="center"/>
    </xf>
    <xf numFmtId="4" fontId="23" fillId="25" borderId="10" xfId="48" applyNumberFormat="1" applyFill="1" applyBorder="1"/>
    <xf numFmtId="3" fontId="0" fillId="25" borderId="10" xfId="0" applyNumberFormat="1" applyFill="1" applyBorder="1"/>
    <xf numFmtId="4" fontId="0" fillId="25" borderId="10" xfId="0" applyNumberFormat="1" applyFill="1" applyBorder="1"/>
    <xf numFmtId="0" fontId="3" fillId="25" borderId="10" xfId="53" applyFont="1" applyFill="1" applyBorder="1" applyAlignment="1">
      <alignment horizontal="left"/>
    </xf>
    <xf numFmtId="0" fontId="29" fillId="25" borderId="10" xfId="53" applyFont="1" applyFill="1" applyBorder="1" applyAlignment="1">
      <alignment horizontal="center"/>
    </xf>
    <xf numFmtId="0" fontId="3" fillId="25" borderId="10" xfId="53" applyFon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 wrapText="1"/>
    </xf>
    <xf numFmtId="4" fontId="23" fillId="25" borderId="10" xfId="48" applyNumberFormat="1" applyFill="1" applyBorder="1" applyAlignment="1">
      <alignment horizontal="center"/>
    </xf>
    <xf numFmtId="0" fontId="5" fillId="25" borderId="10" xfId="1" applyFont="1" applyFill="1" applyBorder="1" applyAlignment="1" applyProtection="1">
      <alignment horizontal="left" vertical="center" wrapText="1"/>
      <protection hidden="1"/>
    </xf>
    <xf numFmtId="0" fontId="5" fillId="25" borderId="10" xfId="1" applyFont="1" applyFill="1" applyBorder="1" applyAlignment="1" applyProtection="1">
      <alignment horizontal="center" vertical="center" wrapText="1"/>
      <protection hidden="1"/>
    </xf>
    <xf numFmtId="0" fontId="0" fillId="25" borderId="10" xfId="0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3" fillId="25" borderId="11" xfId="54" applyFont="1" applyFill="1" applyBorder="1" applyAlignment="1">
      <alignment horizontal="center" vertical="center" wrapText="1"/>
    </xf>
    <xf numFmtId="0" fontId="3" fillId="25" borderId="15" xfId="54" applyFont="1" applyFill="1" applyBorder="1" applyAlignment="1">
      <alignment horizontal="center" vertical="center" wrapText="1"/>
    </xf>
    <xf numFmtId="4" fontId="3" fillId="25" borderId="10" xfId="54" applyNumberFormat="1" applyFont="1" applyFill="1" applyBorder="1" applyAlignment="1">
      <alignment horizontal="center" vertical="center" wrapText="1"/>
    </xf>
    <xf numFmtId="168" fontId="0" fillId="25" borderId="10" xfId="0" applyNumberFormat="1" applyFill="1" applyBorder="1" applyAlignment="1">
      <alignment horizontal="center"/>
    </xf>
    <xf numFmtId="168" fontId="0" fillId="25" borderId="11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3" fillId="0" borderId="10" xfId="48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48" applyFont="1" applyFill="1" applyBorder="1" applyAlignment="1">
      <alignment horizontal="left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3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" fillId="24" borderId="11" xfId="1" applyFont="1" applyFill="1" applyBorder="1" applyAlignment="1" applyProtection="1">
      <alignment horizontal="center" vertical="center" wrapText="1"/>
      <protection hidden="1"/>
    </xf>
    <xf numFmtId="0" fontId="3" fillId="24" borderId="22" xfId="1" applyFont="1" applyFill="1" applyBorder="1" applyAlignment="1" applyProtection="1">
      <alignment horizontal="center" vertical="center" wrapText="1"/>
      <protection hidden="1"/>
    </xf>
    <xf numFmtId="0" fontId="3" fillId="24" borderId="21" xfId="1" applyFont="1" applyFill="1" applyBorder="1" applyAlignment="1" applyProtection="1">
      <alignment horizontal="center" vertical="center" wrapText="1"/>
      <protection hidden="1"/>
    </xf>
    <xf numFmtId="0" fontId="1" fillId="0" borderId="0" xfId="48" applyFont="1" applyAlignment="1">
      <alignment horizontal="center"/>
    </xf>
    <xf numFmtId="0" fontId="22" fillId="0" borderId="10" xfId="48" applyFont="1" applyFill="1" applyBorder="1" applyAlignment="1">
      <alignment horizontal="center" wrapText="1"/>
    </xf>
    <xf numFmtId="0" fontId="22" fillId="0" borderId="10" xfId="48" applyFont="1" applyBorder="1" applyAlignment="1">
      <alignment horizontal="center" vertical="center"/>
    </xf>
    <xf numFmtId="0" fontId="22" fillId="0" borderId="10" xfId="48" applyFont="1" applyBorder="1" applyAlignment="1">
      <alignment horizontal="center" wrapText="1"/>
    </xf>
    <xf numFmtId="0" fontId="22" fillId="0" borderId="10" xfId="48" applyFont="1" applyBorder="1" applyAlignment="1">
      <alignment horizontal="center"/>
    </xf>
    <xf numFmtId="0" fontId="22" fillId="0" borderId="12" xfId="48" applyFont="1" applyBorder="1" applyAlignment="1">
      <alignment horizontal="center"/>
    </xf>
    <xf numFmtId="0" fontId="22" fillId="0" borderId="13" xfId="48" applyFont="1" applyBorder="1" applyAlignment="1">
      <alignment horizontal="center"/>
    </xf>
    <xf numFmtId="0" fontId="3" fillId="0" borderId="11" xfId="1" applyFont="1" applyFill="1" applyBorder="1" applyAlignment="1" applyProtection="1">
      <alignment horizontal="center" vertical="center" wrapText="1"/>
      <protection hidden="1"/>
    </xf>
    <xf numFmtId="0" fontId="3" fillId="0" borderId="22" xfId="1" applyFont="1" applyFill="1" applyBorder="1" applyAlignment="1" applyProtection="1">
      <alignment horizontal="center" vertical="center" wrapText="1"/>
      <protection hidden="1"/>
    </xf>
    <xf numFmtId="0" fontId="3" fillId="0" borderId="21" xfId="1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0" xfId="48" applyFont="1" applyAlignment="1">
      <alignment horizontal="center"/>
    </xf>
    <xf numFmtId="0" fontId="23" fillId="0" borderId="0" xfId="48" applyBorder="1" applyAlignment="1">
      <alignment horizontal="center"/>
    </xf>
    <xf numFmtId="0" fontId="28" fillId="0" borderId="10" xfId="48" applyFont="1" applyBorder="1" applyAlignment="1">
      <alignment horizontal="center" vertical="center" wrapText="1"/>
    </xf>
    <xf numFmtId="0" fontId="28" fillId="0" borderId="15" xfId="48" applyFont="1" applyBorder="1" applyAlignment="1">
      <alignment horizontal="center" vertical="center" wrapText="1"/>
    </xf>
    <xf numFmtId="0" fontId="28" fillId="0" borderId="16" xfId="48" applyFont="1" applyBorder="1" applyAlignment="1">
      <alignment horizontal="center" vertical="center" wrapText="1"/>
    </xf>
    <xf numFmtId="0" fontId="28" fillId="0" borderId="17" xfId="48" applyFont="1" applyBorder="1" applyAlignment="1">
      <alignment horizontal="center" vertical="center" wrapText="1"/>
    </xf>
    <xf numFmtId="0" fontId="28" fillId="0" borderId="18" xfId="48" applyFont="1" applyBorder="1" applyAlignment="1">
      <alignment horizontal="center" vertical="center" wrapText="1"/>
    </xf>
    <xf numFmtId="0" fontId="28" fillId="0" borderId="0" xfId="48" applyFont="1" applyBorder="1" applyAlignment="1">
      <alignment horizontal="center" vertical="center" wrapText="1"/>
    </xf>
    <xf numFmtId="0" fontId="28" fillId="0" borderId="19" xfId="48" applyFont="1" applyBorder="1" applyAlignment="1">
      <alignment horizontal="center" vertical="center" wrapText="1"/>
    </xf>
    <xf numFmtId="0" fontId="28" fillId="0" borderId="20" xfId="48" applyFont="1" applyBorder="1" applyAlignment="1">
      <alignment horizontal="center" vertical="center" wrapText="1"/>
    </xf>
    <xf numFmtId="0" fontId="28" fillId="0" borderId="14" xfId="48" applyFont="1" applyBorder="1" applyAlignment="1">
      <alignment horizontal="center" vertical="center" wrapText="1"/>
    </xf>
    <xf numFmtId="0" fontId="28" fillId="0" borderId="10" xfId="48" applyFont="1" applyFill="1" applyBorder="1" applyAlignment="1">
      <alignment horizontal="center" vertical="center" wrapText="1"/>
    </xf>
    <xf numFmtId="0" fontId="28" fillId="0" borderId="12" xfId="48" applyFont="1" applyBorder="1" applyAlignment="1">
      <alignment horizontal="center" vertical="center" wrapText="1"/>
    </xf>
    <xf numFmtId="0" fontId="23" fillId="0" borderId="14" xfId="48" applyBorder="1" applyAlignment="1">
      <alignment horizontal="center"/>
    </xf>
    <xf numFmtId="0" fontId="28" fillId="0" borderId="11" xfId="48" applyFont="1" applyBorder="1" applyAlignment="1">
      <alignment horizontal="center" vertical="center" wrapText="1"/>
    </xf>
    <xf numFmtId="0" fontId="28" fillId="0" borderId="22" xfId="48" applyFont="1" applyBorder="1" applyAlignment="1">
      <alignment horizontal="center" vertical="center" wrapText="1"/>
    </xf>
    <xf numFmtId="0" fontId="28" fillId="0" borderId="21" xfId="48" applyFont="1" applyBorder="1" applyAlignment="1">
      <alignment horizontal="center" vertical="center" wrapText="1"/>
    </xf>
    <xf numFmtId="0" fontId="31" fillId="0" borderId="10" xfId="1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1" fillId="0" borderId="11" xfId="1" applyFont="1" applyFill="1" applyBorder="1" applyAlignment="1" applyProtection="1">
      <alignment horizontal="center" vertical="center" wrapText="1"/>
      <protection hidden="1"/>
    </xf>
    <xf numFmtId="0" fontId="31" fillId="0" borderId="22" xfId="1" applyFont="1" applyFill="1" applyBorder="1" applyAlignment="1" applyProtection="1">
      <alignment horizontal="center" vertical="center" wrapText="1"/>
      <protection hidden="1"/>
    </xf>
    <xf numFmtId="0" fontId="31" fillId="0" borderId="21" xfId="1" applyFont="1" applyFill="1" applyBorder="1" applyAlignment="1" applyProtection="1">
      <alignment horizontal="center" vertical="center" wrapText="1"/>
      <protection hidden="1"/>
    </xf>
    <xf numFmtId="0" fontId="31" fillId="0" borderId="10" xfId="1" applyFont="1" applyFill="1" applyBorder="1" applyAlignment="1" applyProtection="1">
      <alignment vertical="center" wrapText="1"/>
      <protection hidden="1"/>
    </xf>
    <xf numFmtId="0" fontId="32" fillId="0" borderId="10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3" fontId="26" fillId="0" borderId="10" xfId="48" applyNumberFormat="1" applyFont="1" applyBorder="1"/>
    <xf numFmtId="1" fontId="26" fillId="0" borderId="10" xfId="48" applyNumberFormat="1" applyFont="1" applyBorder="1"/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6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50"/>
    <cellStyle name="Обычный 2 3" xfId="49"/>
    <cellStyle name="Обычный 2_СВОД на 01.07.14" xfId="38"/>
    <cellStyle name="Обычный 3" xfId="39"/>
    <cellStyle name="Обычный 4" xfId="1"/>
    <cellStyle name="Обычный 5" xfId="48"/>
    <cellStyle name="Обычный 5 2" xfId="52"/>
    <cellStyle name="Обычный 5 3" xfId="54"/>
    <cellStyle name="Обычный 5 3 2" xfId="58"/>
    <cellStyle name="Обычный 5 4" xfId="56"/>
    <cellStyle name="Обычный 5 4 2" xfId="59"/>
    <cellStyle name="Обычный_ЖУ" xfId="53"/>
    <cellStyle name="Обычный_Лист1" xfId="55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Текст предупреждения 2" xfId="45"/>
    <cellStyle name="Финансовый 2" xfId="46"/>
    <cellStyle name="Финансовый 3" xfId="51"/>
    <cellStyle name="Финансовый 3 2" xfId="57"/>
    <cellStyle name="Хороший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.08%20(version%2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/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54">
          <cell r="H54">
            <v>12</v>
          </cell>
        </row>
        <row r="56">
          <cell r="H56">
            <v>12</v>
          </cell>
        </row>
        <row r="61">
          <cell r="H61">
            <v>12</v>
          </cell>
        </row>
        <row r="69">
          <cell r="H69">
            <v>49</v>
          </cell>
        </row>
        <row r="71">
          <cell r="H71">
            <v>12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4">
          <cell r="H124">
            <v>36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1">
          <cell r="H171">
            <v>79</v>
          </cell>
        </row>
        <row r="172">
          <cell r="H172">
            <v>99</v>
          </cell>
        </row>
        <row r="173">
          <cell r="H173">
            <v>46</v>
          </cell>
        </row>
        <row r="174">
          <cell r="H174">
            <v>48</v>
          </cell>
        </row>
        <row r="175">
          <cell r="H175">
            <v>149</v>
          </cell>
        </row>
        <row r="176">
          <cell r="H176">
            <v>35</v>
          </cell>
        </row>
        <row r="177">
          <cell r="H177">
            <v>35</v>
          </cell>
        </row>
        <row r="178">
          <cell r="H178">
            <v>34</v>
          </cell>
        </row>
        <row r="179">
          <cell r="H179">
            <v>70</v>
          </cell>
        </row>
        <row r="180">
          <cell r="H180">
            <v>70</v>
          </cell>
        </row>
        <row r="181">
          <cell r="H181">
            <v>24</v>
          </cell>
        </row>
        <row r="191">
          <cell r="H191">
            <v>16</v>
          </cell>
        </row>
        <row r="192">
          <cell r="H192">
            <v>24</v>
          </cell>
        </row>
        <row r="193">
          <cell r="H193">
            <v>36</v>
          </cell>
        </row>
        <row r="194">
          <cell r="H194">
            <v>16</v>
          </cell>
        </row>
        <row r="195">
          <cell r="H195">
            <v>60</v>
          </cell>
        </row>
        <row r="196">
          <cell r="H196">
            <v>48</v>
          </cell>
        </row>
        <row r="197">
          <cell r="H197">
            <v>66</v>
          </cell>
        </row>
        <row r="198">
          <cell r="H198">
            <v>109</v>
          </cell>
        </row>
        <row r="199">
          <cell r="H199">
            <v>80</v>
          </cell>
        </row>
        <row r="200">
          <cell r="H200">
            <v>60</v>
          </cell>
        </row>
        <row r="201">
          <cell r="H201">
            <v>56</v>
          </cell>
        </row>
        <row r="202">
          <cell r="H202">
            <v>116</v>
          </cell>
        </row>
        <row r="203">
          <cell r="H203">
            <v>126</v>
          </cell>
        </row>
        <row r="204">
          <cell r="H204">
            <v>60</v>
          </cell>
        </row>
        <row r="205">
          <cell r="H205">
            <v>60</v>
          </cell>
        </row>
        <row r="206">
          <cell r="H206">
            <v>143</v>
          </cell>
        </row>
        <row r="207">
          <cell r="H207">
            <v>68</v>
          </cell>
        </row>
        <row r="208">
          <cell r="H208">
            <v>26</v>
          </cell>
        </row>
        <row r="209">
          <cell r="H209">
            <v>169</v>
          </cell>
        </row>
        <row r="210">
          <cell r="H210">
            <v>133</v>
          </cell>
        </row>
        <row r="211">
          <cell r="H211">
            <v>12</v>
          </cell>
        </row>
        <row r="212">
          <cell r="H212">
            <v>12</v>
          </cell>
        </row>
        <row r="213">
          <cell r="H213">
            <v>30</v>
          </cell>
        </row>
        <row r="214">
          <cell r="H214">
            <v>12</v>
          </cell>
        </row>
        <row r="215">
          <cell r="H215">
            <v>12</v>
          </cell>
        </row>
        <row r="216">
          <cell r="H216">
            <v>48</v>
          </cell>
        </row>
        <row r="217">
          <cell r="H217">
            <v>48</v>
          </cell>
        </row>
        <row r="218">
          <cell r="H218">
            <v>8</v>
          </cell>
        </row>
        <row r="219">
          <cell r="H219">
            <v>16</v>
          </cell>
        </row>
        <row r="220">
          <cell r="H220">
            <v>36</v>
          </cell>
        </row>
        <row r="221">
          <cell r="H221">
            <v>18</v>
          </cell>
        </row>
        <row r="222">
          <cell r="H222">
            <v>50</v>
          </cell>
        </row>
        <row r="223">
          <cell r="H223">
            <v>47</v>
          </cell>
        </row>
        <row r="224">
          <cell r="H224">
            <v>76</v>
          </cell>
        </row>
        <row r="225">
          <cell r="H225">
            <v>183</v>
          </cell>
        </row>
        <row r="226">
          <cell r="H226">
            <v>68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5">
          <cell r="H245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2">
          <cell r="H252">
            <v>12</v>
          </cell>
        </row>
        <row r="256">
          <cell r="H256">
            <v>12</v>
          </cell>
        </row>
        <row r="264">
          <cell r="H264">
            <v>15</v>
          </cell>
        </row>
        <row r="276">
          <cell r="H276">
            <v>16</v>
          </cell>
        </row>
        <row r="279">
          <cell r="H279">
            <v>48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2"/>
      <sheetData sheetId="3">
        <row r="129">
          <cell r="J129">
            <v>14</v>
          </cell>
        </row>
        <row r="131">
          <cell r="J131">
            <v>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  <row r="343">
          <cell r="H343">
            <v>33</v>
          </cell>
        </row>
        <row r="344">
          <cell r="H344">
            <v>33</v>
          </cell>
        </row>
        <row r="345">
          <cell r="H345">
            <v>42</v>
          </cell>
        </row>
        <row r="346">
          <cell r="H346">
            <v>140</v>
          </cell>
        </row>
        <row r="347">
          <cell r="H347">
            <v>218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0">
          <cell r="H90">
            <v>8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0">
          <cell r="H110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УС за 1 кв 2018 года (население"/>
      <sheetName val="УС за 1 кв. 2018 г. (всего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9">
          <cell r="Y9">
            <v>361.49999999999909</v>
          </cell>
          <cell r="Z9">
            <v>236.09999999999945</v>
          </cell>
        </row>
      </sheetData>
      <sheetData sheetId="25" refreshError="1"/>
      <sheetData sheetId="26" refreshError="1"/>
      <sheetData sheetId="27" refreshError="1"/>
      <sheetData sheetId="28">
        <row r="9">
          <cell r="Y9">
            <v>371.69999999999891</v>
          </cell>
          <cell r="Z9">
            <v>223.89999999999964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Normal="100" zoomScaleSheetLayoutView="100" workbookViewId="0">
      <selection activeCell="H26" sqref="H26"/>
    </sheetView>
  </sheetViews>
  <sheetFormatPr defaultRowHeight="15"/>
  <cols>
    <col min="1" max="1" width="10" customWidth="1"/>
    <col min="2" max="2" width="33.28515625" customWidth="1"/>
    <col min="3" max="3" width="19" customWidth="1"/>
    <col min="4" max="4" width="19" style="175" customWidth="1"/>
    <col min="5" max="5" width="19.28515625" customWidth="1"/>
    <col min="6" max="6" width="16.85546875" customWidth="1"/>
    <col min="7" max="7" width="15.140625" customWidth="1"/>
    <col min="8" max="8" width="13.7109375" customWidth="1"/>
  </cols>
  <sheetData>
    <row r="1" spans="1:6" ht="52.5" customHeight="1">
      <c r="A1" s="220" t="s">
        <v>133</v>
      </c>
      <c r="B1" s="220"/>
      <c r="C1" s="220"/>
      <c r="D1" s="220"/>
      <c r="E1" s="220"/>
      <c r="F1" s="220"/>
    </row>
    <row r="2" spans="1:6" ht="60">
      <c r="A2" s="214" t="s">
        <v>0</v>
      </c>
      <c r="B2" s="214" t="s">
        <v>125</v>
      </c>
      <c r="C2" s="214" t="s">
        <v>128</v>
      </c>
      <c r="D2" s="214" t="s">
        <v>134</v>
      </c>
      <c r="E2" s="214" t="s">
        <v>129</v>
      </c>
      <c r="F2" s="214" t="s">
        <v>130</v>
      </c>
    </row>
    <row r="3" spans="1:6">
      <c r="A3" s="138">
        <v>1</v>
      </c>
      <c r="B3" s="79" t="s">
        <v>77</v>
      </c>
      <c r="C3" s="138">
        <f>'ООО УК "ПОКиТС"'!A185</f>
        <v>179</v>
      </c>
      <c r="D3" s="138">
        <f>'ООО УК "ПОКиТС"'!F186</f>
        <v>2595</v>
      </c>
      <c r="E3" s="106">
        <f>'ООО УК "ПОКиТС"'!P186</f>
        <v>55407.40800000001</v>
      </c>
      <c r="F3" s="76">
        <f>E3/D3</f>
        <v>21.351602312138731</v>
      </c>
    </row>
    <row r="4" spans="1:6">
      <c r="A4" s="138">
        <f>A3+1</f>
        <v>2</v>
      </c>
      <c r="B4" s="219" t="s">
        <v>126</v>
      </c>
      <c r="C4" s="138">
        <f>'ООО УК "Нарьян-Марстрой"'!A42</f>
        <v>35</v>
      </c>
      <c r="D4" s="286">
        <f>'ООО УК "Нарьян-Марстрой"'!F43</f>
        <v>1996</v>
      </c>
      <c r="E4" s="106">
        <f>'ООО УК "Нарьян-Марстрой"'!P43</f>
        <v>29921.523999999998</v>
      </c>
      <c r="F4" s="76">
        <f t="shared" ref="F4:F10" si="0">E4/D4</f>
        <v>14.990743486973948</v>
      </c>
    </row>
    <row r="5" spans="1:6">
      <c r="A5" s="138">
        <f>A4+1</f>
        <v>3</v>
      </c>
      <c r="B5" s="215" t="s">
        <v>16</v>
      </c>
      <c r="C5" s="138">
        <f>'ООО "Базис"'!A47</f>
        <v>41</v>
      </c>
      <c r="D5" s="138">
        <f>'ООО "Базис"'!F48</f>
        <v>1514</v>
      </c>
      <c r="E5" s="106">
        <f>'ООО "Базис"'!P48</f>
        <v>24711.3</v>
      </c>
      <c r="F5" s="76">
        <f t="shared" si="0"/>
        <v>16.321862615587847</v>
      </c>
    </row>
    <row r="6" spans="1:6">
      <c r="A6" s="138">
        <f t="shared" ref="A6:A11" si="1">A5+1</f>
        <v>4</v>
      </c>
      <c r="B6" s="217" t="s">
        <v>61</v>
      </c>
      <c r="C6" s="138">
        <f>'ООО "Наш дом"'!A11</f>
        <v>5</v>
      </c>
      <c r="D6" s="287">
        <f>'ООО "Наш дом"'!F12</f>
        <v>466</v>
      </c>
      <c r="E6" s="106">
        <f>'ООО "Наш дом"'!P12</f>
        <v>17686.13</v>
      </c>
      <c r="F6" s="76">
        <f t="shared" si="0"/>
        <v>37.953068669527902</v>
      </c>
    </row>
    <row r="7" spans="1:6">
      <c r="A7" s="138">
        <f t="shared" si="1"/>
        <v>5</v>
      </c>
      <c r="B7" s="216" t="s">
        <v>43</v>
      </c>
      <c r="C7" s="138">
        <f>'ООО "Ненецкая УК"'!A32</f>
        <v>26</v>
      </c>
      <c r="D7" s="138">
        <f>'ООО "Ненецкая УК"'!F33</f>
        <v>857</v>
      </c>
      <c r="E7" s="106">
        <f>'ООО "Ненецкая УК"'!P33</f>
        <v>9476.0999999999967</v>
      </c>
      <c r="F7" s="76">
        <f t="shared" si="0"/>
        <v>11.057292882147021</v>
      </c>
    </row>
    <row r="8" spans="1:6">
      <c r="A8" s="138">
        <f t="shared" si="1"/>
        <v>6</v>
      </c>
      <c r="B8" s="217" t="s">
        <v>53</v>
      </c>
      <c r="C8" s="138">
        <f>'ООО "Коми-Сервис"'!A22</f>
        <v>16</v>
      </c>
      <c r="D8" s="138">
        <f>'ООО "Коми-Сервис"'!F23</f>
        <v>934</v>
      </c>
      <c r="E8" s="106">
        <f>'ООО "Коми-Сервис"'!P23</f>
        <v>9209.4200000000019</v>
      </c>
      <c r="F8" s="76">
        <f t="shared" si="0"/>
        <v>9.8601927194860828</v>
      </c>
    </row>
    <row r="9" spans="1:6">
      <c r="A9" s="138">
        <f t="shared" si="1"/>
        <v>7</v>
      </c>
      <c r="B9" s="218" t="s">
        <v>105</v>
      </c>
      <c r="C9" s="138">
        <f>'ООО "Аврора"'!A27</f>
        <v>21</v>
      </c>
      <c r="D9" s="138">
        <f>'ООО "Аврора"'!F28</f>
        <v>450</v>
      </c>
      <c r="E9" s="106">
        <f>'ООО "Аврора"'!P28</f>
        <v>7856.9</v>
      </c>
      <c r="F9" s="76">
        <f t="shared" si="0"/>
        <v>17.459777777777777</v>
      </c>
    </row>
    <row r="10" spans="1:6">
      <c r="A10" s="138">
        <f t="shared" si="1"/>
        <v>8</v>
      </c>
      <c r="B10" s="218" t="s">
        <v>63</v>
      </c>
      <c r="C10" s="138">
        <f>'ООО УК "Уютный дом"'!A10</f>
        <v>5</v>
      </c>
      <c r="D10" s="138">
        <f>'ООО УК "Уютный дом"'!F11</f>
        <v>338</v>
      </c>
      <c r="E10" s="106">
        <f>'ООО УК "Уютный дом"'!P11</f>
        <v>2895.0399999999995</v>
      </c>
      <c r="F10" s="76">
        <f t="shared" si="0"/>
        <v>8.5652071005917136</v>
      </c>
    </row>
    <row r="11" spans="1:6">
      <c r="A11" s="138">
        <f t="shared" si="1"/>
        <v>9</v>
      </c>
      <c r="B11" s="169" t="s">
        <v>121</v>
      </c>
      <c r="C11" s="138">
        <f>'ТСЖ "Дворянское гнездо"'!A8</f>
        <v>1</v>
      </c>
      <c r="D11" s="138">
        <f>'ТСЖ "Дворянское гнездо"'!F9</f>
        <v>75</v>
      </c>
      <c r="E11" s="106">
        <f>'ТСЖ "Дворянское гнездо"'!P9</f>
        <v>595.59999999999854</v>
      </c>
      <c r="F11" s="76">
        <f>E11/D11</f>
        <v>7.941333333333314</v>
      </c>
    </row>
    <row r="12" spans="1:6" s="175" customFormat="1">
      <c r="A12" s="138">
        <v>10</v>
      </c>
      <c r="B12" s="168" t="s">
        <v>131</v>
      </c>
      <c r="C12" s="288" t="s">
        <v>132</v>
      </c>
      <c r="D12" s="289"/>
      <c r="E12" s="289"/>
      <c r="F12" s="290"/>
    </row>
    <row r="13" spans="1:6">
      <c r="A13" s="221" t="s">
        <v>5</v>
      </c>
      <c r="B13" s="222"/>
      <c r="C13" s="105">
        <f>SUM(C3:C11)</f>
        <v>329</v>
      </c>
      <c r="D13" s="105"/>
      <c r="E13" s="106">
        <f>SUM(E3:E11)</f>
        <v>157759.42200000002</v>
      </c>
      <c r="F13" s="105" t="s">
        <v>127</v>
      </c>
    </row>
  </sheetData>
  <sortState ref="A3:F12">
    <sortCondition descending="1" ref="E3"/>
  </sortState>
  <mergeCells count="3">
    <mergeCell ref="A1:F1"/>
    <mergeCell ref="A13:B13"/>
    <mergeCell ref="C12:F12"/>
  </mergeCells>
  <pageMargins left="0.7" right="0.7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zoomScaleNormal="100" zoomScaleSheetLayoutView="100" workbookViewId="0">
      <selection activeCell="F29" sqref="F29"/>
    </sheetView>
  </sheetViews>
  <sheetFormatPr defaultRowHeight="15" outlineLevelCol="1"/>
  <cols>
    <col min="1" max="1" width="5" customWidth="1"/>
    <col min="2" max="2" width="15.7109375" customWidth="1"/>
    <col min="3" max="3" width="16.85546875" customWidth="1"/>
    <col min="4" max="4" width="6.85546875" customWidth="1"/>
    <col min="6" max="6" width="10.5703125" customWidth="1"/>
    <col min="8" max="8" width="11" customWidth="1"/>
    <col min="9" max="9" width="13.7109375" customWidth="1"/>
    <col min="10" max="10" width="0" hidden="1" customWidth="1" outlineLevel="1"/>
    <col min="11" max="11" width="10" hidden="1" customWidth="1" outlineLevel="1"/>
    <col min="12" max="12" width="11.85546875" hidden="1" customWidth="1" outlineLevel="1"/>
    <col min="13" max="13" width="0" hidden="1" customWidth="1" outlineLevel="1"/>
    <col min="14" max="14" width="10.42578125" hidden="1" customWidth="1" outlineLevel="1"/>
    <col min="15" max="15" width="12.85546875" hidden="1" customWidth="1" outlineLevel="1"/>
    <col min="16" max="16" width="9.140625" collapsed="1"/>
    <col min="17" max="17" width="10.42578125" customWidth="1"/>
    <col min="18" max="19" width="12.85546875" customWidth="1"/>
  </cols>
  <sheetData>
    <row r="1" spans="1:19">
      <c r="B1" s="224" t="s">
        <v>13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30.75" customHeight="1">
      <c r="B2" s="223" t="s">
        <v>109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>
      <c r="R3" s="3"/>
      <c r="S3" s="3" t="s">
        <v>9</v>
      </c>
    </row>
    <row r="4" spans="1:19" ht="29.25" customHeight="1">
      <c r="A4" s="231" t="s">
        <v>0</v>
      </c>
      <c r="B4" s="231" t="s">
        <v>15</v>
      </c>
      <c r="C4" s="231" t="s">
        <v>1</v>
      </c>
      <c r="D4" s="231"/>
      <c r="E4" s="231"/>
      <c r="F4" s="246" t="s">
        <v>82</v>
      </c>
      <c r="G4" s="230" t="s">
        <v>10</v>
      </c>
      <c r="H4" s="230"/>
      <c r="I4" s="230"/>
      <c r="J4" s="230" t="s">
        <v>11</v>
      </c>
      <c r="K4" s="230"/>
      <c r="L4" s="230"/>
      <c r="M4" s="230" t="s">
        <v>12</v>
      </c>
      <c r="N4" s="230"/>
      <c r="O4" s="230"/>
      <c r="P4" s="226" t="s">
        <v>41</v>
      </c>
      <c r="Q4" s="226"/>
      <c r="R4" s="226"/>
      <c r="S4" s="232" t="s">
        <v>111</v>
      </c>
    </row>
    <row r="5" spans="1:19" ht="13.5" customHeight="1">
      <c r="A5" s="231"/>
      <c r="B5" s="231"/>
      <c r="C5" s="231" t="s">
        <v>2</v>
      </c>
      <c r="D5" s="231" t="s">
        <v>3</v>
      </c>
      <c r="E5" s="231" t="s">
        <v>4</v>
      </c>
      <c r="F5" s="247"/>
      <c r="G5" s="227" t="s">
        <v>5</v>
      </c>
      <c r="H5" s="228" t="s">
        <v>14</v>
      </c>
      <c r="I5" s="229"/>
      <c r="J5" s="227" t="s">
        <v>5</v>
      </c>
      <c r="K5" s="228" t="s">
        <v>14</v>
      </c>
      <c r="L5" s="229"/>
      <c r="M5" s="227" t="s">
        <v>5</v>
      </c>
      <c r="N5" s="228" t="s">
        <v>14</v>
      </c>
      <c r="O5" s="229"/>
      <c r="P5" s="227" t="s">
        <v>5</v>
      </c>
      <c r="Q5" s="228" t="s">
        <v>14</v>
      </c>
      <c r="R5" s="229"/>
      <c r="S5" s="233"/>
    </row>
    <row r="6" spans="1:19" ht="38.25">
      <c r="A6" s="231"/>
      <c r="B6" s="231"/>
      <c r="C6" s="231"/>
      <c r="D6" s="231"/>
      <c r="E6" s="231"/>
      <c r="F6" s="248"/>
      <c r="G6" s="227"/>
      <c r="H6" s="133" t="s">
        <v>6</v>
      </c>
      <c r="I6" s="133" t="s">
        <v>7</v>
      </c>
      <c r="J6" s="227"/>
      <c r="K6" s="133" t="s">
        <v>6</v>
      </c>
      <c r="L6" s="133" t="s">
        <v>7</v>
      </c>
      <c r="M6" s="227"/>
      <c r="N6" s="133" t="s">
        <v>6</v>
      </c>
      <c r="O6" s="133" t="s">
        <v>7</v>
      </c>
      <c r="P6" s="227"/>
      <c r="Q6" s="17" t="s">
        <v>6</v>
      </c>
      <c r="R6" s="17" t="s">
        <v>7</v>
      </c>
      <c r="S6" s="234"/>
    </row>
    <row r="7" spans="1:19">
      <c r="A7" s="130">
        <v>1</v>
      </c>
      <c r="B7" s="1" t="s">
        <v>105</v>
      </c>
      <c r="C7" s="170" t="s">
        <v>24</v>
      </c>
      <c r="D7" s="180">
        <v>22</v>
      </c>
      <c r="E7" s="180"/>
      <c r="F7" s="180">
        <v>80</v>
      </c>
      <c r="G7" s="130"/>
      <c r="H7" s="130">
        <v>857.6</v>
      </c>
      <c r="I7" s="130">
        <v>681</v>
      </c>
      <c r="J7" s="130">
        <v>1855.5</v>
      </c>
      <c r="K7" s="130">
        <v>935.9</v>
      </c>
      <c r="L7" s="130">
        <v>919.6</v>
      </c>
      <c r="M7" s="130">
        <v>1895.4</v>
      </c>
      <c r="N7" s="130">
        <v>988.4</v>
      </c>
      <c r="O7" s="130">
        <v>907</v>
      </c>
      <c r="P7" s="170">
        <f t="shared" ref="P7:P27" si="0">SUM(Q7:R7)</f>
        <v>2008.2</v>
      </c>
      <c r="Q7" s="170">
        <v>1080.2</v>
      </c>
      <c r="R7" s="170">
        <v>928</v>
      </c>
      <c r="S7" s="5">
        <f t="shared" ref="S7:S27" si="1">P7/F7</f>
        <v>25.102499999999999</v>
      </c>
    </row>
    <row r="8" spans="1:19">
      <c r="A8" s="130">
        <v>2</v>
      </c>
      <c r="B8" s="1" t="s">
        <v>105</v>
      </c>
      <c r="C8" s="1" t="s">
        <v>85</v>
      </c>
      <c r="D8" s="130">
        <v>11</v>
      </c>
      <c r="E8" s="130"/>
      <c r="F8" s="130">
        <v>27</v>
      </c>
      <c r="G8" s="130"/>
      <c r="H8" s="130">
        <v>374.1</v>
      </c>
      <c r="I8" s="130">
        <v>412.3</v>
      </c>
      <c r="J8" s="130">
        <v>1058.5999999999999</v>
      </c>
      <c r="K8" s="130">
        <v>294.8</v>
      </c>
      <c r="L8" s="130">
        <v>763.8</v>
      </c>
      <c r="M8" s="130">
        <v>1039.8</v>
      </c>
      <c r="N8" s="130">
        <v>201</v>
      </c>
      <c r="O8" s="130">
        <v>838.8</v>
      </c>
      <c r="P8" s="1">
        <f t="shared" si="0"/>
        <v>1041.4000000000001</v>
      </c>
      <c r="Q8" s="1">
        <v>126.4</v>
      </c>
      <c r="R8" s="1">
        <v>915</v>
      </c>
      <c r="S8" s="5">
        <f t="shared" si="1"/>
        <v>38.570370370370377</v>
      </c>
    </row>
    <row r="9" spans="1:19">
      <c r="A9" s="130">
        <v>3</v>
      </c>
      <c r="B9" s="1" t="s">
        <v>105</v>
      </c>
      <c r="C9" s="1" t="s">
        <v>85</v>
      </c>
      <c r="D9" s="130">
        <v>16</v>
      </c>
      <c r="E9" s="130"/>
      <c r="F9" s="130">
        <v>27</v>
      </c>
      <c r="G9" s="130"/>
      <c r="H9" s="130">
        <v>298.8</v>
      </c>
      <c r="I9" s="130">
        <v>280.60000000000002</v>
      </c>
      <c r="J9" s="130">
        <v>949</v>
      </c>
      <c r="K9" s="130">
        <v>259.2</v>
      </c>
      <c r="L9" s="130">
        <v>689.8</v>
      </c>
      <c r="M9" s="130">
        <v>877.3</v>
      </c>
      <c r="N9" s="130">
        <v>108.3</v>
      </c>
      <c r="O9" s="130">
        <v>769</v>
      </c>
      <c r="P9" s="1">
        <f t="shared" si="0"/>
        <v>945.9</v>
      </c>
      <c r="Q9" s="1">
        <v>103</v>
      </c>
      <c r="R9" s="1">
        <v>842.9</v>
      </c>
      <c r="S9" s="5">
        <f t="shared" si="1"/>
        <v>35.033333333333331</v>
      </c>
    </row>
    <row r="10" spans="1:19">
      <c r="A10" s="130">
        <v>4</v>
      </c>
      <c r="B10" s="1" t="s">
        <v>105</v>
      </c>
      <c r="C10" s="1" t="s">
        <v>106</v>
      </c>
      <c r="D10" s="130">
        <v>9</v>
      </c>
      <c r="E10" s="130"/>
      <c r="F10" s="130">
        <v>52</v>
      </c>
      <c r="G10" s="130"/>
      <c r="H10" s="130">
        <v>259.7</v>
      </c>
      <c r="I10" s="130">
        <v>364.5</v>
      </c>
      <c r="J10" s="130">
        <v>905.9</v>
      </c>
      <c r="K10" s="130">
        <v>372.9</v>
      </c>
      <c r="L10" s="130">
        <v>533</v>
      </c>
      <c r="M10" s="130">
        <v>884</v>
      </c>
      <c r="N10" s="130">
        <v>397.7</v>
      </c>
      <c r="O10" s="130">
        <v>486.3</v>
      </c>
      <c r="P10" s="1">
        <f t="shared" si="0"/>
        <v>919.1</v>
      </c>
      <c r="Q10" s="1">
        <v>399.4</v>
      </c>
      <c r="R10" s="1">
        <v>519.70000000000005</v>
      </c>
      <c r="S10" s="5">
        <f t="shared" si="1"/>
        <v>17.675000000000001</v>
      </c>
    </row>
    <row r="11" spans="1:19">
      <c r="A11" s="130">
        <v>5</v>
      </c>
      <c r="B11" s="1" t="s">
        <v>105</v>
      </c>
      <c r="C11" s="170" t="s">
        <v>85</v>
      </c>
      <c r="D11" s="180">
        <v>13</v>
      </c>
      <c r="E11" s="180"/>
      <c r="F11" s="180">
        <v>8</v>
      </c>
      <c r="G11" s="130">
        <v>388.4</v>
      </c>
      <c r="H11" s="130">
        <v>93.2</v>
      </c>
      <c r="I11" s="130">
        <v>295.2</v>
      </c>
      <c r="J11" s="130">
        <v>495.1</v>
      </c>
      <c r="K11" s="130">
        <v>118.9</v>
      </c>
      <c r="L11" s="130">
        <v>376.2</v>
      </c>
      <c r="M11" s="130">
        <v>503.1</v>
      </c>
      <c r="N11" s="130">
        <v>122.5</v>
      </c>
      <c r="O11" s="130">
        <v>380.6</v>
      </c>
      <c r="P11" s="1">
        <f t="shared" si="0"/>
        <v>525.09999999999991</v>
      </c>
      <c r="Q11" s="1">
        <v>130.19999999999999</v>
      </c>
      <c r="R11" s="1">
        <v>394.9</v>
      </c>
      <c r="S11" s="182">
        <f t="shared" si="1"/>
        <v>65.637499999999989</v>
      </c>
    </row>
    <row r="12" spans="1:19">
      <c r="A12" s="130">
        <v>6</v>
      </c>
      <c r="B12" s="1" t="s">
        <v>105</v>
      </c>
      <c r="C12" s="1" t="s">
        <v>51</v>
      </c>
      <c r="D12" s="130">
        <v>13</v>
      </c>
      <c r="E12" s="130"/>
      <c r="F12" s="130">
        <v>23</v>
      </c>
      <c r="G12" s="130"/>
      <c r="H12" s="130">
        <v>150.4</v>
      </c>
      <c r="I12" s="130">
        <v>165.5</v>
      </c>
      <c r="J12" s="130">
        <v>472.9</v>
      </c>
      <c r="K12" s="130">
        <v>158.80000000000001</v>
      </c>
      <c r="L12" s="130">
        <v>314.10000000000002</v>
      </c>
      <c r="M12" s="130">
        <v>473.8</v>
      </c>
      <c r="N12" s="130">
        <v>154.6</v>
      </c>
      <c r="O12" s="130">
        <v>319.2</v>
      </c>
      <c r="P12" s="1">
        <f t="shared" si="0"/>
        <v>487.6</v>
      </c>
      <c r="Q12" s="1">
        <v>157.80000000000001</v>
      </c>
      <c r="R12" s="1">
        <v>329.8</v>
      </c>
      <c r="S12" s="5">
        <f t="shared" si="1"/>
        <v>21.2</v>
      </c>
    </row>
    <row r="13" spans="1:19">
      <c r="A13" s="130">
        <v>7</v>
      </c>
      <c r="B13" s="1" t="s">
        <v>105</v>
      </c>
      <c r="C13" s="1" t="s">
        <v>92</v>
      </c>
      <c r="D13" s="130">
        <v>43</v>
      </c>
      <c r="E13" s="130"/>
      <c r="F13" s="130">
        <v>35</v>
      </c>
      <c r="G13" s="130"/>
      <c r="H13" s="130">
        <v>157.80000000000001</v>
      </c>
      <c r="I13" s="130">
        <v>284.5</v>
      </c>
      <c r="J13" s="130">
        <v>416.6</v>
      </c>
      <c r="K13" s="130">
        <v>161.19999999999999</v>
      </c>
      <c r="L13" s="130">
        <v>255.4</v>
      </c>
      <c r="M13" s="130">
        <v>340.7</v>
      </c>
      <c r="N13" s="130">
        <v>170</v>
      </c>
      <c r="O13" s="130">
        <v>170.7</v>
      </c>
      <c r="P13" s="1">
        <f t="shared" si="0"/>
        <v>324.3</v>
      </c>
      <c r="Q13" s="1">
        <v>177.3</v>
      </c>
      <c r="R13" s="1">
        <v>147</v>
      </c>
      <c r="S13" s="5">
        <f t="shared" si="1"/>
        <v>9.2657142857142869</v>
      </c>
    </row>
    <row r="14" spans="1:19">
      <c r="A14" s="130">
        <v>8</v>
      </c>
      <c r="B14" s="1" t="s">
        <v>105</v>
      </c>
      <c r="C14" s="1" t="s">
        <v>95</v>
      </c>
      <c r="D14" s="130">
        <v>9</v>
      </c>
      <c r="E14" s="130"/>
      <c r="F14" s="130">
        <v>12</v>
      </c>
      <c r="G14" s="130">
        <v>183.8</v>
      </c>
      <c r="H14" s="130">
        <v>183.8</v>
      </c>
      <c r="I14" s="130">
        <v>0</v>
      </c>
      <c r="J14" s="130">
        <v>243.6</v>
      </c>
      <c r="K14" s="130">
        <v>243.6</v>
      </c>
      <c r="L14" s="130">
        <v>0</v>
      </c>
      <c r="M14" s="130">
        <v>229.6</v>
      </c>
      <c r="N14" s="130">
        <v>229.6</v>
      </c>
      <c r="O14" s="130">
        <v>0</v>
      </c>
      <c r="P14" s="1">
        <f t="shared" si="0"/>
        <v>251.7</v>
      </c>
      <c r="Q14" s="1">
        <v>251.7</v>
      </c>
      <c r="R14" s="1">
        <v>0</v>
      </c>
      <c r="S14" s="5">
        <f t="shared" si="1"/>
        <v>20.974999999999998</v>
      </c>
    </row>
    <row r="15" spans="1:19">
      <c r="A15" s="130">
        <v>9</v>
      </c>
      <c r="B15" s="1" t="s">
        <v>105</v>
      </c>
      <c r="C15" s="1" t="s">
        <v>99</v>
      </c>
      <c r="D15" s="130">
        <v>33</v>
      </c>
      <c r="E15" s="130"/>
      <c r="F15" s="130">
        <v>16</v>
      </c>
      <c r="G15" s="130">
        <v>0</v>
      </c>
      <c r="H15" s="130">
        <v>0</v>
      </c>
      <c r="I15" s="130">
        <v>0</v>
      </c>
      <c r="J15" s="130">
        <v>181.6</v>
      </c>
      <c r="K15" s="130">
        <v>5.6</v>
      </c>
      <c r="L15" s="130">
        <v>176</v>
      </c>
      <c r="M15" s="130">
        <v>180.6</v>
      </c>
      <c r="N15" s="130">
        <v>15.1</v>
      </c>
      <c r="O15" s="130">
        <v>165.5</v>
      </c>
      <c r="P15" s="1">
        <f t="shared" si="0"/>
        <v>232.6</v>
      </c>
      <c r="Q15" s="1">
        <v>38</v>
      </c>
      <c r="R15" s="1">
        <v>194.6</v>
      </c>
      <c r="S15" s="5">
        <f t="shared" si="1"/>
        <v>14.5375</v>
      </c>
    </row>
    <row r="16" spans="1:19">
      <c r="A16" s="130">
        <v>10</v>
      </c>
      <c r="B16" s="1" t="s">
        <v>105</v>
      </c>
      <c r="C16" s="1" t="s">
        <v>95</v>
      </c>
      <c r="D16" s="130">
        <v>10</v>
      </c>
      <c r="E16" s="130"/>
      <c r="F16" s="130">
        <v>12</v>
      </c>
      <c r="G16" s="130">
        <v>165.6</v>
      </c>
      <c r="H16" s="130">
        <v>123.7</v>
      </c>
      <c r="I16" s="130">
        <v>41.9</v>
      </c>
      <c r="J16" s="130">
        <v>212</v>
      </c>
      <c r="K16" s="130">
        <v>154</v>
      </c>
      <c r="L16" s="130">
        <v>58</v>
      </c>
      <c r="M16" s="130">
        <v>216.5</v>
      </c>
      <c r="N16" s="130">
        <v>156.30000000000001</v>
      </c>
      <c r="O16" s="130">
        <v>60.2</v>
      </c>
      <c r="P16" s="1">
        <f t="shared" si="0"/>
        <v>230.9</v>
      </c>
      <c r="Q16" s="1">
        <v>166.3</v>
      </c>
      <c r="R16" s="1">
        <v>64.599999999999994</v>
      </c>
      <c r="S16" s="5">
        <f t="shared" si="1"/>
        <v>19.241666666666667</v>
      </c>
    </row>
    <row r="17" spans="1:20">
      <c r="A17" s="130">
        <v>11</v>
      </c>
      <c r="B17" s="1" t="s">
        <v>105</v>
      </c>
      <c r="C17" s="1" t="s">
        <v>92</v>
      </c>
      <c r="D17" s="130">
        <v>37</v>
      </c>
      <c r="E17" s="130" t="s">
        <v>20</v>
      </c>
      <c r="F17" s="130">
        <v>21</v>
      </c>
      <c r="G17" s="130">
        <v>0</v>
      </c>
      <c r="H17" s="130">
        <v>0</v>
      </c>
      <c r="I17" s="130">
        <v>0</v>
      </c>
      <c r="J17" s="130">
        <v>184.5</v>
      </c>
      <c r="K17" s="130">
        <v>75.8</v>
      </c>
      <c r="L17" s="130">
        <v>108.7</v>
      </c>
      <c r="M17" s="130">
        <v>151.4</v>
      </c>
      <c r="N17" s="130">
        <v>82.9</v>
      </c>
      <c r="O17" s="130">
        <v>68.5</v>
      </c>
      <c r="P17" s="1">
        <f t="shared" si="0"/>
        <v>165.5</v>
      </c>
      <c r="Q17" s="1">
        <v>85.8</v>
      </c>
      <c r="R17" s="1">
        <v>79.7</v>
      </c>
      <c r="S17" s="5">
        <f t="shared" si="1"/>
        <v>7.8809523809523814</v>
      </c>
    </row>
    <row r="18" spans="1:20">
      <c r="A18" s="130">
        <v>12</v>
      </c>
      <c r="B18" s="1" t="s">
        <v>105</v>
      </c>
      <c r="C18" s="1" t="s">
        <v>108</v>
      </c>
      <c r="D18" s="130">
        <v>15</v>
      </c>
      <c r="E18" s="130"/>
      <c r="F18" s="130">
        <v>41</v>
      </c>
      <c r="G18" s="130">
        <v>0</v>
      </c>
      <c r="H18" s="130">
        <v>0</v>
      </c>
      <c r="I18" s="130">
        <v>0</v>
      </c>
      <c r="J18" s="130">
        <v>147.19999999999999</v>
      </c>
      <c r="K18" s="130">
        <v>108.3</v>
      </c>
      <c r="L18" s="130">
        <v>38.9</v>
      </c>
      <c r="M18" s="130">
        <v>144.9</v>
      </c>
      <c r="N18" s="130">
        <v>108.1</v>
      </c>
      <c r="O18" s="130">
        <v>36.799999999999997</v>
      </c>
      <c r="P18" s="1">
        <f t="shared" si="0"/>
        <v>144.6</v>
      </c>
      <c r="Q18" s="1">
        <v>118.3</v>
      </c>
      <c r="R18" s="1">
        <v>26.3</v>
      </c>
      <c r="S18" s="5">
        <f t="shared" si="1"/>
        <v>3.526829268292683</v>
      </c>
    </row>
    <row r="19" spans="1:20">
      <c r="A19" s="130">
        <v>13</v>
      </c>
      <c r="B19" s="1" t="s">
        <v>105</v>
      </c>
      <c r="C19" s="1" t="s">
        <v>95</v>
      </c>
      <c r="D19" s="130">
        <v>6</v>
      </c>
      <c r="E19" s="130"/>
      <c r="F19" s="130">
        <v>8</v>
      </c>
      <c r="G19" s="130">
        <v>117.9</v>
      </c>
      <c r="H19" s="130">
        <v>98.8</v>
      </c>
      <c r="I19" s="130">
        <v>19.100000000000001</v>
      </c>
      <c r="J19" s="130">
        <v>126.3</v>
      </c>
      <c r="K19" s="130">
        <v>104.2</v>
      </c>
      <c r="L19" s="130">
        <v>22.1</v>
      </c>
      <c r="M19" s="130">
        <v>131.1</v>
      </c>
      <c r="N19" s="130">
        <v>108.9</v>
      </c>
      <c r="O19" s="130">
        <v>22.2</v>
      </c>
      <c r="P19" s="1">
        <f t="shared" si="0"/>
        <v>136.69999999999999</v>
      </c>
      <c r="Q19" s="1">
        <v>113.3</v>
      </c>
      <c r="R19" s="1">
        <v>23.4</v>
      </c>
      <c r="S19" s="5">
        <f t="shared" si="1"/>
        <v>17.087499999999999</v>
      </c>
    </row>
    <row r="20" spans="1:20">
      <c r="A20" s="130">
        <v>14</v>
      </c>
      <c r="B20" s="1" t="s">
        <v>105</v>
      </c>
      <c r="C20" s="1" t="s">
        <v>96</v>
      </c>
      <c r="D20" s="130">
        <v>1</v>
      </c>
      <c r="E20" s="130"/>
      <c r="F20" s="130">
        <v>12</v>
      </c>
      <c r="G20" s="130">
        <v>0</v>
      </c>
      <c r="H20" s="130">
        <v>0</v>
      </c>
      <c r="I20" s="130">
        <v>0</v>
      </c>
      <c r="J20" s="130">
        <v>78.3</v>
      </c>
      <c r="K20" s="130">
        <v>57.5</v>
      </c>
      <c r="L20" s="130">
        <v>20.8</v>
      </c>
      <c r="M20" s="130">
        <v>90.5</v>
      </c>
      <c r="N20" s="130">
        <v>65</v>
      </c>
      <c r="O20" s="130">
        <v>25.5</v>
      </c>
      <c r="P20" s="1">
        <f t="shared" si="0"/>
        <v>107</v>
      </c>
      <c r="Q20" s="1">
        <v>76.2</v>
      </c>
      <c r="R20" s="1">
        <v>30.8</v>
      </c>
      <c r="S20" s="5">
        <f t="shared" si="1"/>
        <v>8.9166666666666661</v>
      </c>
    </row>
    <row r="21" spans="1:20" s="155" customFormat="1">
      <c r="A21" s="138">
        <v>15</v>
      </c>
      <c r="B21" s="138" t="s">
        <v>105</v>
      </c>
      <c r="C21" s="1" t="s">
        <v>51</v>
      </c>
      <c r="D21" s="138">
        <v>2</v>
      </c>
      <c r="E21" s="138"/>
      <c r="F21" s="138">
        <v>12</v>
      </c>
      <c r="G21" s="138">
        <v>0</v>
      </c>
      <c r="H21" s="138">
        <v>0</v>
      </c>
      <c r="I21" s="138">
        <v>0</v>
      </c>
      <c r="J21" s="138">
        <v>91.2</v>
      </c>
      <c r="K21" s="138">
        <v>36.6</v>
      </c>
      <c r="L21" s="138">
        <v>54.6</v>
      </c>
      <c r="M21" s="138">
        <v>73.400000000000006</v>
      </c>
      <c r="N21" s="138">
        <v>43.8</v>
      </c>
      <c r="O21" s="138">
        <v>29.6</v>
      </c>
      <c r="P21" s="1">
        <f t="shared" si="0"/>
        <v>81.3</v>
      </c>
      <c r="Q21" s="1">
        <v>45.9</v>
      </c>
      <c r="R21" s="1">
        <v>35.4</v>
      </c>
      <c r="S21" s="5">
        <f t="shared" si="1"/>
        <v>6.7749999999999995</v>
      </c>
    </row>
    <row r="22" spans="1:20">
      <c r="A22" s="130">
        <v>16</v>
      </c>
      <c r="B22" s="1" t="s">
        <v>105</v>
      </c>
      <c r="C22" s="1" t="s">
        <v>96</v>
      </c>
      <c r="D22" s="130">
        <v>3</v>
      </c>
      <c r="E22" s="130" t="s">
        <v>21</v>
      </c>
      <c r="F22" s="130">
        <v>12</v>
      </c>
      <c r="G22" s="130">
        <v>0</v>
      </c>
      <c r="H22" s="130">
        <v>0</v>
      </c>
      <c r="I22" s="130">
        <v>0</v>
      </c>
      <c r="J22" s="130">
        <v>57.8</v>
      </c>
      <c r="K22" s="130">
        <v>35.200000000000003</v>
      </c>
      <c r="L22" s="130">
        <v>22.6</v>
      </c>
      <c r="M22" s="130">
        <v>66.5</v>
      </c>
      <c r="N22" s="130">
        <v>40</v>
      </c>
      <c r="O22" s="130">
        <v>26.5</v>
      </c>
      <c r="P22" s="1">
        <f t="shared" si="0"/>
        <v>66.699999999999989</v>
      </c>
      <c r="Q22" s="1">
        <v>38.799999999999997</v>
      </c>
      <c r="R22" s="1">
        <v>27.9</v>
      </c>
      <c r="S22" s="5">
        <f t="shared" si="1"/>
        <v>5.5583333333333327</v>
      </c>
    </row>
    <row r="23" spans="1:20">
      <c r="A23" s="130">
        <v>17</v>
      </c>
      <c r="B23" s="1" t="s">
        <v>105</v>
      </c>
      <c r="C23" s="138" t="s">
        <v>96</v>
      </c>
      <c r="D23" s="130">
        <v>3</v>
      </c>
      <c r="E23" s="130"/>
      <c r="F23" s="130">
        <v>12</v>
      </c>
      <c r="G23" s="130">
        <v>0</v>
      </c>
      <c r="H23" s="130">
        <v>0</v>
      </c>
      <c r="I23" s="130">
        <v>0</v>
      </c>
      <c r="J23" s="130">
        <v>60</v>
      </c>
      <c r="K23" s="130">
        <v>41.7</v>
      </c>
      <c r="L23" s="130">
        <v>18.3</v>
      </c>
      <c r="M23" s="130">
        <v>52.4</v>
      </c>
      <c r="N23" s="130">
        <v>38.700000000000003</v>
      </c>
      <c r="O23" s="130">
        <v>13.7</v>
      </c>
      <c r="P23" s="138">
        <f t="shared" si="0"/>
        <v>61.300000000000004</v>
      </c>
      <c r="Q23" s="138">
        <v>45.7</v>
      </c>
      <c r="R23" s="138">
        <v>15.6</v>
      </c>
      <c r="S23" s="5">
        <f t="shared" si="1"/>
        <v>5.1083333333333334</v>
      </c>
    </row>
    <row r="24" spans="1:20">
      <c r="A24" s="130">
        <v>18</v>
      </c>
      <c r="B24" s="1" t="s">
        <v>105</v>
      </c>
      <c r="C24" s="1" t="s">
        <v>107</v>
      </c>
      <c r="D24" s="130">
        <v>48</v>
      </c>
      <c r="E24" s="130" t="s">
        <v>21</v>
      </c>
      <c r="F24" s="130">
        <v>12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36.6</v>
      </c>
      <c r="N24" s="130">
        <v>36.6</v>
      </c>
      <c r="O24" s="130">
        <v>0</v>
      </c>
      <c r="P24" s="1">
        <f t="shared" si="0"/>
        <v>48.2</v>
      </c>
      <c r="Q24" s="1">
        <v>48.2</v>
      </c>
      <c r="R24" s="1">
        <v>0</v>
      </c>
      <c r="S24" s="5">
        <f t="shared" si="1"/>
        <v>4.0166666666666666</v>
      </c>
    </row>
    <row r="25" spans="1:20">
      <c r="A25" s="130">
        <v>19</v>
      </c>
      <c r="B25" s="1" t="s">
        <v>105</v>
      </c>
      <c r="C25" s="1" t="s">
        <v>37</v>
      </c>
      <c r="D25" s="130">
        <v>22</v>
      </c>
      <c r="E25" s="130"/>
      <c r="F25" s="130">
        <v>12</v>
      </c>
      <c r="G25" s="130">
        <v>0</v>
      </c>
      <c r="H25" s="130">
        <v>0</v>
      </c>
      <c r="I25" s="130">
        <v>0</v>
      </c>
      <c r="J25" s="130">
        <v>34.1</v>
      </c>
      <c r="K25" s="130">
        <v>33.6</v>
      </c>
      <c r="L25" s="130">
        <v>0.5</v>
      </c>
      <c r="M25" s="130">
        <v>35.6</v>
      </c>
      <c r="N25" s="130">
        <v>35.6</v>
      </c>
      <c r="O25" s="130">
        <v>0</v>
      </c>
      <c r="P25" s="1">
        <f t="shared" si="0"/>
        <v>43.2</v>
      </c>
      <c r="Q25" s="1">
        <v>43.2</v>
      </c>
      <c r="R25" s="1">
        <v>0</v>
      </c>
      <c r="S25" s="5">
        <f t="shared" si="1"/>
        <v>3.6</v>
      </c>
    </row>
    <row r="26" spans="1:20">
      <c r="A26" s="130">
        <v>20</v>
      </c>
      <c r="B26" s="1" t="s">
        <v>105</v>
      </c>
      <c r="C26" s="1" t="s">
        <v>37</v>
      </c>
      <c r="D26" s="130">
        <v>19</v>
      </c>
      <c r="E26" s="130"/>
      <c r="F26" s="130">
        <v>8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24.3</v>
      </c>
      <c r="N26" s="130">
        <v>24.3</v>
      </c>
      <c r="O26" s="130">
        <v>0</v>
      </c>
      <c r="P26" s="1">
        <f t="shared" si="0"/>
        <v>27.8</v>
      </c>
      <c r="Q26" s="1">
        <v>27.8</v>
      </c>
      <c r="R26" s="1">
        <v>0</v>
      </c>
      <c r="S26" s="5">
        <f t="shared" si="1"/>
        <v>3.4750000000000001</v>
      </c>
    </row>
    <row r="27" spans="1:20">
      <c r="A27" s="130">
        <v>21</v>
      </c>
      <c r="B27" s="1" t="s">
        <v>105</v>
      </c>
      <c r="C27" s="1" t="s">
        <v>95</v>
      </c>
      <c r="D27" s="130">
        <v>5</v>
      </c>
      <c r="E27" s="130"/>
      <c r="F27" s="130">
        <v>8</v>
      </c>
      <c r="G27" s="130">
        <v>13.5</v>
      </c>
      <c r="H27" s="130">
        <v>13.5</v>
      </c>
      <c r="I27" s="130">
        <v>0</v>
      </c>
      <c r="J27" s="130">
        <v>8.8000000000000007</v>
      </c>
      <c r="K27" s="130">
        <v>8.8000000000000007</v>
      </c>
      <c r="L27" s="130">
        <v>0</v>
      </c>
      <c r="M27" s="130">
        <v>7.8</v>
      </c>
      <c r="N27" s="130">
        <v>7.8</v>
      </c>
      <c r="O27" s="130">
        <v>0</v>
      </c>
      <c r="P27" s="1">
        <f t="shared" si="0"/>
        <v>7.8</v>
      </c>
      <c r="Q27" s="1">
        <v>7.8</v>
      </c>
      <c r="R27" s="1">
        <v>0</v>
      </c>
      <c r="S27" s="5">
        <f t="shared" si="1"/>
        <v>0.97499999999999998</v>
      </c>
    </row>
    <row r="28" spans="1:20" s="99" customFormat="1">
      <c r="A28" s="97"/>
      <c r="B28" s="98" t="s">
        <v>8</v>
      </c>
      <c r="C28" s="98"/>
      <c r="D28" s="97"/>
      <c r="E28" s="97"/>
      <c r="F28" s="97">
        <f>SUM(F7:F27)</f>
        <v>450</v>
      </c>
      <c r="G28" s="97">
        <v>5156</v>
      </c>
      <c r="H28" s="97">
        <v>2611.4</v>
      </c>
      <c r="I28" s="97">
        <v>2544.6</v>
      </c>
      <c r="J28" s="97">
        <v>7579</v>
      </c>
      <c r="K28" s="97">
        <v>3206.6</v>
      </c>
      <c r="L28" s="97">
        <v>4372.3999999999996</v>
      </c>
      <c r="M28" s="97">
        <v>7455.3</v>
      </c>
      <c r="N28" s="97">
        <v>3135.2</v>
      </c>
      <c r="O28" s="97">
        <v>4320.1000000000004</v>
      </c>
      <c r="P28" s="98">
        <v>7856.9</v>
      </c>
      <c r="Q28" s="98">
        <v>3281.3</v>
      </c>
      <c r="R28" s="98">
        <v>4575.6000000000004</v>
      </c>
      <c r="S28" s="1"/>
      <c r="T28" s="99">
        <f>P28/A27</f>
        <v>374.13809523809522</v>
      </c>
    </row>
    <row r="29" spans="1:20">
      <c r="O29" s="134"/>
      <c r="Q29" s="171"/>
      <c r="R29" s="154"/>
      <c r="S29" s="154"/>
    </row>
    <row r="30" spans="1:20" s="15" customFormat="1" ht="12.75">
      <c r="B30" s="96" t="s">
        <v>112</v>
      </c>
    </row>
    <row r="31" spans="1:20" s="15" customFormat="1" ht="44.25" customHeight="1">
      <c r="B31" s="225" t="s">
        <v>120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</row>
  </sheetData>
  <sortState ref="C7:S27">
    <sortCondition descending="1" ref="P7:P27"/>
  </sortState>
  <mergeCells count="23">
    <mergeCell ref="A4:A6"/>
    <mergeCell ref="B4:B6"/>
    <mergeCell ref="C4:E4"/>
    <mergeCell ref="G4:I4"/>
    <mergeCell ref="J4:L4"/>
    <mergeCell ref="C5:C6"/>
    <mergeCell ref="D5:D6"/>
    <mergeCell ref="E5:E6"/>
    <mergeCell ref="F4:F6"/>
    <mergeCell ref="S4:S6"/>
    <mergeCell ref="B31:T31"/>
    <mergeCell ref="B1:S1"/>
    <mergeCell ref="B2:S2"/>
    <mergeCell ref="P4:R4"/>
    <mergeCell ref="P5:P6"/>
    <mergeCell ref="Q5:R5"/>
    <mergeCell ref="G5:G6"/>
    <mergeCell ref="H5:I5"/>
    <mergeCell ref="J5:J6"/>
    <mergeCell ref="K5:L5"/>
    <mergeCell ref="M5:M6"/>
    <mergeCell ref="N5:O5"/>
    <mergeCell ref="M4:O4"/>
  </mergeCells>
  <pageMargins left="0.15748031496062992" right="0.1574803149606299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9"/>
  <sheetViews>
    <sheetView workbookViewId="0">
      <selection activeCell="F10" sqref="F10"/>
    </sheetView>
  </sheetViews>
  <sheetFormatPr defaultRowHeight="15" outlineLevelCol="1"/>
  <cols>
    <col min="1" max="1" width="5" customWidth="1"/>
    <col min="2" max="2" width="25.140625" customWidth="1"/>
    <col min="5" max="5" width="8" customWidth="1"/>
    <col min="6" max="6" width="10.85546875" customWidth="1"/>
    <col min="8" max="8" width="9.7109375" customWidth="1"/>
    <col min="10" max="15" width="0" hidden="1" customWidth="1" outlineLevel="1"/>
    <col min="16" max="16" width="9.140625" collapsed="1"/>
    <col min="17" max="17" width="9.85546875" customWidth="1"/>
  </cols>
  <sheetData>
    <row r="2" spans="1:19" s="175" customFormat="1">
      <c r="B2" s="224" t="s">
        <v>13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4" spans="1:19">
      <c r="S4" s="175" t="s">
        <v>9</v>
      </c>
    </row>
    <row r="5" spans="1:19" ht="29.25" customHeight="1">
      <c r="A5" s="231" t="s">
        <v>0</v>
      </c>
      <c r="B5" s="231" t="s">
        <v>15</v>
      </c>
      <c r="C5" s="231" t="s">
        <v>1</v>
      </c>
      <c r="D5" s="231"/>
      <c r="E5" s="231"/>
      <c r="F5" s="246" t="s">
        <v>82</v>
      </c>
      <c r="G5" s="230" t="s">
        <v>10</v>
      </c>
      <c r="H5" s="230"/>
      <c r="I5" s="230"/>
      <c r="J5" s="230" t="s">
        <v>11</v>
      </c>
      <c r="K5" s="230"/>
      <c r="L5" s="230"/>
      <c r="M5" s="230" t="s">
        <v>12</v>
      </c>
      <c r="N5" s="230"/>
      <c r="O5" s="230"/>
      <c r="P5" s="226" t="s">
        <v>41</v>
      </c>
      <c r="Q5" s="226"/>
      <c r="R5" s="226"/>
      <c r="S5" s="232" t="s">
        <v>111</v>
      </c>
    </row>
    <row r="6" spans="1:19">
      <c r="A6" s="231"/>
      <c r="B6" s="231"/>
      <c r="C6" s="231" t="s">
        <v>2</v>
      </c>
      <c r="D6" s="231" t="s">
        <v>3</v>
      </c>
      <c r="E6" s="231" t="s">
        <v>4</v>
      </c>
      <c r="F6" s="247"/>
      <c r="G6" s="227" t="s">
        <v>5</v>
      </c>
      <c r="H6" s="228" t="s">
        <v>14</v>
      </c>
      <c r="I6" s="229"/>
      <c r="J6" s="227" t="s">
        <v>5</v>
      </c>
      <c r="K6" s="228" t="s">
        <v>14</v>
      </c>
      <c r="L6" s="229"/>
      <c r="M6" s="227" t="s">
        <v>5</v>
      </c>
      <c r="N6" s="228" t="s">
        <v>14</v>
      </c>
      <c r="O6" s="229"/>
      <c r="P6" s="227" t="s">
        <v>5</v>
      </c>
      <c r="Q6" s="228" t="s">
        <v>14</v>
      </c>
      <c r="R6" s="229"/>
      <c r="S6" s="233"/>
    </row>
    <row r="7" spans="1:19" ht="51">
      <c r="A7" s="246"/>
      <c r="B7" s="246"/>
      <c r="C7" s="246"/>
      <c r="D7" s="246"/>
      <c r="E7" s="246"/>
      <c r="F7" s="247"/>
      <c r="G7" s="283"/>
      <c r="H7" s="133" t="s">
        <v>6</v>
      </c>
      <c r="I7" s="133" t="s">
        <v>7</v>
      </c>
      <c r="J7" s="283"/>
      <c r="K7" s="133" t="s">
        <v>6</v>
      </c>
      <c r="L7" s="133" t="s">
        <v>7</v>
      </c>
      <c r="M7" s="283"/>
      <c r="N7" s="133" t="s">
        <v>6</v>
      </c>
      <c r="O7" s="133" t="s">
        <v>7</v>
      </c>
      <c r="P7" s="283"/>
      <c r="Q7" s="17" t="s">
        <v>6</v>
      </c>
      <c r="R7" s="17" t="s">
        <v>7</v>
      </c>
      <c r="S7" s="233"/>
    </row>
    <row r="8" spans="1:19" s="175" customFormat="1">
      <c r="A8" s="75">
        <v>1</v>
      </c>
      <c r="B8" s="169" t="s">
        <v>121</v>
      </c>
      <c r="C8" s="168" t="s">
        <v>19</v>
      </c>
      <c r="D8" s="116">
        <v>39</v>
      </c>
      <c r="E8" s="1"/>
      <c r="F8" s="105">
        <v>75</v>
      </c>
      <c r="G8" s="76">
        <f>SUM(H8:I8)</f>
        <v>691</v>
      </c>
      <c r="H8" s="167">
        <v>333</v>
      </c>
      <c r="I8" s="167">
        <v>358</v>
      </c>
      <c r="J8" s="166">
        <f>SUM(K8:L8)</f>
        <v>767.3</v>
      </c>
      <c r="K8" s="166">
        <v>408.5</v>
      </c>
      <c r="L8" s="166">
        <v>358.8</v>
      </c>
      <c r="M8" s="76">
        <f>SUM(N8:O8)</f>
        <v>597.59999999999854</v>
      </c>
      <c r="N8" s="76">
        <f>'[4]июль-1'!$Y$9</f>
        <v>361.49999999999909</v>
      </c>
      <c r="O8" s="76">
        <f>'[4]июль-1'!$Z$9</f>
        <v>236.09999999999945</v>
      </c>
      <c r="P8" s="166">
        <f>SUM(Q8:R8)</f>
        <v>595.59999999999854</v>
      </c>
      <c r="Q8" s="166">
        <f>'[4]август-1'!$Y$9</f>
        <v>371.69999999999891</v>
      </c>
      <c r="R8" s="166">
        <f>'[4]август-1'!$Z$9</f>
        <v>223.89999999999964</v>
      </c>
      <c r="S8" s="166">
        <f>P8/F8</f>
        <v>7.941333333333314</v>
      </c>
    </row>
    <row r="9" spans="1:19" s="136" customFormat="1">
      <c r="A9" s="123"/>
      <c r="B9" s="165" t="s">
        <v>8</v>
      </c>
      <c r="C9" s="123"/>
      <c r="D9" s="123"/>
      <c r="E9" s="123"/>
      <c r="F9" s="123">
        <f>SUM(F8)</f>
        <v>75</v>
      </c>
      <c r="G9" s="164">
        <f>G8</f>
        <v>691</v>
      </c>
      <c r="H9" s="164">
        <f t="shared" ref="H9:R9" si="0">H8</f>
        <v>333</v>
      </c>
      <c r="I9" s="164">
        <f t="shared" si="0"/>
        <v>358</v>
      </c>
      <c r="J9" s="164">
        <f t="shared" si="0"/>
        <v>767.3</v>
      </c>
      <c r="K9" s="164">
        <f t="shared" si="0"/>
        <v>408.5</v>
      </c>
      <c r="L9" s="164">
        <f t="shared" si="0"/>
        <v>358.8</v>
      </c>
      <c r="M9" s="164">
        <f t="shared" si="0"/>
        <v>597.59999999999854</v>
      </c>
      <c r="N9" s="164">
        <f t="shared" si="0"/>
        <v>361.49999999999909</v>
      </c>
      <c r="O9" s="164">
        <f t="shared" si="0"/>
        <v>236.09999999999945</v>
      </c>
      <c r="P9" s="164">
        <f t="shared" si="0"/>
        <v>595.59999999999854</v>
      </c>
      <c r="Q9" s="164">
        <f t="shared" si="0"/>
        <v>371.69999999999891</v>
      </c>
      <c r="R9" s="164">
        <f t="shared" si="0"/>
        <v>223.89999999999964</v>
      </c>
      <c r="S9" s="123"/>
    </row>
  </sheetData>
  <mergeCells count="21">
    <mergeCell ref="A5:A7"/>
    <mergeCell ref="B5:B7"/>
    <mergeCell ref="C5:E5"/>
    <mergeCell ref="F5:F7"/>
    <mergeCell ref="G5:I5"/>
    <mergeCell ref="M6:M7"/>
    <mergeCell ref="N6:O6"/>
    <mergeCell ref="P6:P7"/>
    <mergeCell ref="Q6:R6"/>
    <mergeCell ref="B2:S2"/>
    <mergeCell ref="M5:O5"/>
    <mergeCell ref="P5:R5"/>
    <mergeCell ref="S5:S7"/>
    <mergeCell ref="C6:C7"/>
    <mergeCell ref="D6:D7"/>
    <mergeCell ref="E6:E7"/>
    <mergeCell ref="G6:G7"/>
    <mergeCell ref="H6:I6"/>
    <mergeCell ref="J6:J7"/>
    <mergeCell ref="K6:L6"/>
    <mergeCell ref="J5:L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SheetLayoutView="100" workbookViewId="0">
      <pane xSplit="5" ySplit="6" topLeftCell="F28" activePane="bottomRight" state="frozen"/>
      <selection pane="topRight" activeCell="F1" sqref="F1"/>
      <selection pane="bottomLeft" activeCell="A6" sqref="A6"/>
      <selection pane="bottomRight" activeCell="F49" sqref="F49"/>
    </sheetView>
  </sheetViews>
  <sheetFormatPr defaultRowHeight="15" outlineLevelCol="1"/>
  <cols>
    <col min="1" max="1" width="5" customWidth="1"/>
    <col min="2" max="2" width="13.5703125" customWidth="1"/>
    <col min="3" max="3" width="14.5703125" customWidth="1"/>
    <col min="6" max="6" width="12.5703125" style="70" customWidth="1"/>
    <col min="7" max="7" width="13.5703125" customWidth="1"/>
    <col min="8" max="8" width="12.85546875" customWidth="1"/>
    <col min="9" max="9" width="13.7109375" customWidth="1"/>
    <col min="10" max="10" width="0" hidden="1" customWidth="1" outlineLevel="1"/>
    <col min="11" max="11" width="10" hidden="1" customWidth="1" outlineLevel="1"/>
    <col min="12" max="12" width="11.85546875" hidden="1" customWidth="1" outlineLevel="1"/>
    <col min="13" max="13" width="0" hidden="1" customWidth="1" outlineLevel="1"/>
    <col min="14" max="14" width="10.42578125" hidden="1" customWidth="1" outlineLevel="1"/>
    <col min="15" max="15" width="12.85546875" hidden="1" customWidth="1" outlineLevel="1"/>
    <col min="16" max="16" width="9.140625" collapsed="1"/>
    <col min="17" max="17" width="10.42578125" customWidth="1"/>
    <col min="18" max="19" width="12.85546875" customWidth="1"/>
    <col min="20" max="20" width="13.85546875" customWidth="1"/>
  </cols>
  <sheetData>
    <row r="1" spans="1:19" ht="24" customHeight="1">
      <c r="C1" s="224" t="s">
        <v>13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32.25" customHeight="1">
      <c r="C2" s="223" t="s">
        <v>109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>
      <c r="O3" s="3"/>
      <c r="R3" s="3"/>
      <c r="S3" s="3" t="s">
        <v>9</v>
      </c>
    </row>
    <row r="4" spans="1:19" ht="29.25" customHeight="1">
      <c r="A4" s="231" t="s">
        <v>0</v>
      </c>
      <c r="B4" s="231" t="s">
        <v>15</v>
      </c>
      <c r="C4" s="231" t="s">
        <v>1</v>
      </c>
      <c r="D4" s="231"/>
      <c r="E4" s="231"/>
      <c r="F4" s="235" t="s">
        <v>82</v>
      </c>
      <c r="G4" s="230" t="s">
        <v>10</v>
      </c>
      <c r="H4" s="230"/>
      <c r="I4" s="230"/>
      <c r="J4" s="230" t="s">
        <v>11</v>
      </c>
      <c r="K4" s="230"/>
      <c r="L4" s="230"/>
      <c r="M4" s="230" t="s">
        <v>12</v>
      </c>
      <c r="N4" s="230"/>
      <c r="O4" s="230"/>
      <c r="P4" s="226" t="s">
        <v>41</v>
      </c>
      <c r="Q4" s="226"/>
      <c r="R4" s="226"/>
      <c r="S4" s="232" t="s">
        <v>111</v>
      </c>
    </row>
    <row r="5" spans="1:19" ht="13.5" customHeight="1">
      <c r="A5" s="231"/>
      <c r="B5" s="231"/>
      <c r="C5" s="231" t="s">
        <v>2</v>
      </c>
      <c r="D5" s="231" t="s">
        <v>3</v>
      </c>
      <c r="E5" s="231" t="s">
        <v>4</v>
      </c>
      <c r="F5" s="235"/>
      <c r="G5" s="227" t="s">
        <v>5</v>
      </c>
      <c r="H5" s="228" t="s">
        <v>14</v>
      </c>
      <c r="I5" s="229"/>
      <c r="J5" s="227" t="s">
        <v>5</v>
      </c>
      <c r="K5" s="228" t="s">
        <v>14</v>
      </c>
      <c r="L5" s="229"/>
      <c r="M5" s="227" t="s">
        <v>5</v>
      </c>
      <c r="N5" s="228" t="s">
        <v>14</v>
      </c>
      <c r="O5" s="229"/>
      <c r="P5" s="227" t="s">
        <v>5</v>
      </c>
      <c r="Q5" s="228" t="s">
        <v>14</v>
      </c>
      <c r="R5" s="229"/>
      <c r="S5" s="233"/>
    </row>
    <row r="6" spans="1:19" ht="38.25">
      <c r="A6" s="231"/>
      <c r="B6" s="231"/>
      <c r="C6" s="231"/>
      <c r="D6" s="231"/>
      <c r="E6" s="231"/>
      <c r="F6" s="235"/>
      <c r="G6" s="227"/>
      <c r="H6" s="4" t="s">
        <v>6</v>
      </c>
      <c r="I6" s="4" t="s">
        <v>7</v>
      </c>
      <c r="J6" s="227"/>
      <c r="K6" s="4" t="s">
        <v>6</v>
      </c>
      <c r="L6" s="4" t="s">
        <v>7</v>
      </c>
      <c r="M6" s="227"/>
      <c r="N6" s="4" t="s">
        <v>6</v>
      </c>
      <c r="O6" s="4" t="s">
        <v>7</v>
      </c>
      <c r="P6" s="227"/>
      <c r="Q6" s="4" t="s">
        <v>6</v>
      </c>
      <c r="R6" s="4" t="s">
        <v>7</v>
      </c>
      <c r="S6" s="234"/>
    </row>
    <row r="7" spans="1:19">
      <c r="A7" s="2">
        <v>1</v>
      </c>
      <c r="B7" s="180" t="s">
        <v>16</v>
      </c>
      <c r="C7" s="180" t="s">
        <v>19</v>
      </c>
      <c r="D7" s="180">
        <v>21</v>
      </c>
      <c r="E7" s="180" t="s">
        <v>20</v>
      </c>
      <c r="F7" s="181">
        <v>98</v>
      </c>
      <c r="G7" s="179">
        <f t="shared" ref="G7:G47" si="0">H7+I7</f>
        <v>4775.3</v>
      </c>
      <c r="H7" s="179">
        <f>1356.3+561.29</f>
        <v>1917.59</v>
      </c>
      <c r="I7" s="179">
        <f>2247.7+610.01</f>
        <v>2857.71</v>
      </c>
      <c r="J7" s="182">
        <f t="shared" ref="J7:J47" si="1">K7+L7</f>
        <v>4612.3999999999996</v>
      </c>
      <c r="K7" s="182">
        <f>688.7+1463.47</f>
        <v>2152.17</v>
      </c>
      <c r="L7" s="182">
        <f>929.6+1530.63</f>
        <v>2460.23</v>
      </c>
      <c r="M7" s="182">
        <f t="shared" ref="M7:M47" si="2">N7+O7</f>
        <v>4386.8099999999995</v>
      </c>
      <c r="N7" s="182">
        <f>672.2+1433.83</f>
        <v>2106.0299999999997</v>
      </c>
      <c r="O7" s="182">
        <f>909.3+1371.48</f>
        <v>2280.7799999999997</v>
      </c>
      <c r="P7" s="182">
        <f t="shared" ref="P7:P47" si="3">Q7+R7</f>
        <v>4360.54</v>
      </c>
      <c r="Q7" s="182">
        <f>608+1505.63</f>
        <v>2113.63</v>
      </c>
      <c r="R7" s="182">
        <f>856.7+1090.21+300</f>
        <v>2246.91</v>
      </c>
      <c r="S7" s="179">
        <f t="shared" ref="S7:S42" si="4">P7/F7</f>
        <v>44.49530612244898</v>
      </c>
    </row>
    <row r="8" spans="1:19">
      <c r="A8" s="2">
        <v>2</v>
      </c>
      <c r="B8" s="2" t="s">
        <v>16</v>
      </c>
      <c r="C8" s="138" t="s">
        <v>23</v>
      </c>
      <c r="D8" s="138">
        <v>7</v>
      </c>
      <c r="E8" s="138"/>
      <c r="F8" s="71">
        <v>177</v>
      </c>
      <c r="G8" s="6">
        <f t="shared" si="0"/>
        <v>3849.48</v>
      </c>
      <c r="H8" s="5">
        <f>863+640.41+300</f>
        <v>1803.4099999999999</v>
      </c>
      <c r="I8" s="5">
        <f>1482.4+863.67-300</f>
        <v>2046.0700000000002</v>
      </c>
      <c r="J8" s="5">
        <f t="shared" si="1"/>
        <v>3369.29</v>
      </c>
      <c r="K8" s="5">
        <f>346.2+993.4</f>
        <v>1339.6</v>
      </c>
      <c r="L8" s="5">
        <f>722+1307.69</f>
        <v>2029.69</v>
      </c>
      <c r="M8" s="5">
        <f t="shared" si="2"/>
        <v>3415</v>
      </c>
      <c r="N8" s="5">
        <f>315.4+1236</f>
        <v>1551.4</v>
      </c>
      <c r="O8" s="5">
        <f>694.2+1169.4</f>
        <v>1863.6000000000001</v>
      </c>
      <c r="P8" s="5">
        <f t="shared" si="3"/>
        <v>2752.14</v>
      </c>
      <c r="Q8" s="6">
        <f>290.7+890.72</f>
        <v>1181.42</v>
      </c>
      <c r="R8" s="6">
        <f>643.8+926.92</f>
        <v>1570.7199999999998</v>
      </c>
      <c r="S8" s="6">
        <f t="shared" si="4"/>
        <v>15.548813559322033</v>
      </c>
    </row>
    <row r="9" spans="1:19">
      <c r="A9" s="2">
        <v>3</v>
      </c>
      <c r="B9" s="2" t="s">
        <v>16</v>
      </c>
      <c r="C9" s="138" t="s">
        <v>17</v>
      </c>
      <c r="D9" s="138">
        <v>10</v>
      </c>
      <c r="E9" s="138"/>
      <c r="F9" s="71">
        <v>149</v>
      </c>
      <c r="G9" s="6">
        <f t="shared" si="0"/>
        <v>1652.58</v>
      </c>
      <c r="H9" s="5">
        <v>831.83</v>
      </c>
      <c r="I9" s="5">
        <v>820.75</v>
      </c>
      <c r="J9" s="5">
        <f t="shared" si="1"/>
        <v>1907.77</v>
      </c>
      <c r="K9" s="5">
        <v>941.95</v>
      </c>
      <c r="L9" s="5">
        <v>965.82</v>
      </c>
      <c r="M9" s="5">
        <f t="shared" si="2"/>
        <v>2166.16</v>
      </c>
      <c r="N9" s="5">
        <f>1042.07+122.93</f>
        <v>1165</v>
      </c>
      <c r="O9" s="5">
        <f>812.28+188.88</f>
        <v>1001.16</v>
      </c>
      <c r="P9" s="5">
        <f t="shared" si="3"/>
        <v>2583.06</v>
      </c>
      <c r="Q9" s="6">
        <f>1085.31+300</f>
        <v>1385.31</v>
      </c>
      <c r="R9" s="6">
        <f>897.75+300</f>
        <v>1197.75</v>
      </c>
      <c r="S9" s="6">
        <f t="shared" si="4"/>
        <v>17.335973154362417</v>
      </c>
    </row>
    <row r="10" spans="1:19">
      <c r="A10" s="2">
        <v>4</v>
      </c>
      <c r="B10" s="2" t="s">
        <v>16</v>
      </c>
      <c r="C10" s="138" t="s">
        <v>22</v>
      </c>
      <c r="D10" s="138">
        <v>14</v>
      </c>
      <c r="E10" s="138"/>
      <c r="F10" s="71">
        <v>96</v>
      </c>
      <c r="G10" s="6">
        <f t="shared" si="0"/>
        <v>3117.91</v>
      </c>
      <c r="H10" s="5">
        <f>709.3+341.13+348.36</f>
        <v>1398.79</v>
      </c>
      <c r="I10" s="5">
        <f>1617.2+651.72-201.44-348.36</f>
        <v>1719.12</v>
      </c>
      <c r="J10" s="5">
        <f t="shared" si="1"/>
        <v>2847.25</v>
      </c>
      <c r="K10" s="5">
        <f>422.4+467.87+144.15</f>
        <v>1034.42</v>
      </c>
      <c r="L10" s="5">
        <f>643.1+773.66+396.07</f>
        <v>1812.83</v>
      </c>
      <c r="M10" s="5">
        <f t="shared" si="2"/>
        <v>2774.13</v>
      </c>
      <c r="N10" s="5">
        <f>402.6+695.17</f>
        <v>1097.77</v>
      </c>
      <c r="O10" s="5">
        <f>636.4+1039.96</f>
        <v>1676.3600000000001</v>
      </c>
      <c r="P10" s="5">
        <f t="shared" si="3"/>
        <v>2464.33</v>
      </c>
      <c r="Q10" s="6">
        <f>354.2+538.79</f>
        <v>892.99</v>
      </c>
      <c r="R10" s="6">
        <f>595.9+675.44+300</f>
        <v>1571.3400000000001</v>
      </c>
      <c r="S10" s="6">
        <f t="shared" si="4"/>
        <v>25.670104166666665</v>
      </c>
    </row>
    <row r="11" spans="1:19">
      <c r="A11" s="2">
        <v>5</v>
      </c>
      <c r="B11" s="2" t="s">
        <v>16</v>
      </c>
      <c r="C11" s="138" t="s">
        <v>17</v>
      </c>
      <c r="D11" s="138">
        <v>8</v>
      </c>
      <c r="E11" s="138"/>
      <c r="F11" s="71">
        <v>227</v>
      </c>
      <c r="G11" s="6">
        <f t="shared" si="0"/>
        <v>3999.1000000000004</v>
      </c>
      <c r="H11" s="5">
        <f>835.2+863.44</f>
        <v>1698.64</v>
      </c>
      <c r="I11" s="5">
        <f>1234.3+1066.16</f>
        <v>2300.46</v>
      </c>
      <c r="J11" s="5">
        <f t="shared" si="1"/>
        <v>3025.83</v>
      </c>
      <c r="K11" s="5">
        <f>-17.9+1468.08</f>
        <v>1450.1799999999998</v>
      </c>
      <c r="L11" s="5">
        <f>-2.9+1578.55</f>
        <v>1575.6499999999999</v>
      </c>
      <c r="M11" s="5">
        <f t="shared" si="2"/>
        <v>2531.27</v>
      </c>
      <c r="N11" s="5">
        <f>6.2+1369.34</f>
        <v>1375.54</v>
      </c>
      <c r="O11" s="5">
        <f>1155.73</f>
        <v>1155.73</v>
      </c>
      <c r="P11" s="5">
        <f t="shared" si="3"/>
        <v>2294.8199999999997</v>
      </c>
      <c r="Q11" s="6">
        <f>6.2+1175.36+141.3</f>
        <v>1322.86</v>
      </c>
      <c r="R11" s="6">
        <f>813.26+158.7</f>
        <v>971.96</v>
      </c>
      <c r="S11" s="6">
        <f t="shared" si="4"/>
        <v>10.109339207048457</v>
      </c>
    </row>
    <row r="12" spans="1:19">
      <c r="A12" s="2">
        <v>6</v>
      </c>
      <c r="B12" s="2" t="s">
        <v>16</v>
      </c>
      <c r="C12" s="138" t="s">
        <v>19</v>
      </c>
      <c r="D12" s="138">
        <v>19</v>
      </c>
      <c r="E12" s="138"/>
      <c r="F12" s="71">
        <v>58</v>
      </c>
      <c r="G12" s="6">
        <f t="shared" si="0"/>
        <v>1389.3000000000002</v>
      </c>
      <c r="H12" s="5">
        <f>264.8+259.06</f>
        <v>523.86</v>
      </c>
      <c r="I12" s="5">
        <f>516.5+348.94</f>
        <v>865.44</v>
      </c>
      <c r="J12" s="5">
        <f t="shared" si="1"/>
        <v>1219.46</v>
      </c>
      <c r="K12" s="5">
        <f>142+387.28</f>
        <v>529.28</v>
      </c>
      <c r="L12" s="5">
        <f>223.5+466.68</f>
        <v>690.18000000000006</v>
      </c>
      <c r="M12" s="5">
        <f t="shared" si="2"/>
        <v>1309.5500000000002</v>
      </c>
      <c r="N12" s="5">
        <f>142+471.16</f>
        <v>613.16000000000008</v>
      </c>
      <c r="O12" s="5">
        <f>223.5+472.89</f>
        <v>696.39</v>
      </c>
      <c r="P12" s="5">
        <f t="shared" si="3"/>
        <v>1386.3600000000001</v>
      </c>
      <c r="Q12" s="6">
        <f>141.9+473.92+100</f>
        <v>715.82</v>
      </c>
      <c r="R12" s="6">
        <f>223.5+447.04</f>
        <v>670.54</v>
      </c>
      <c r="S12" s="6">
        <f t="shared" si="4"/>
        <v>23.902758620689657</v>
      </c>
    </row>
    <row r="13" spans="1:19">
      <c r="A13" s="2">
        <v>7</v>
      </c>
      <c r="B13" s="180" t="s">
        <v>16</v>
      </c>
      <c r="C13" s="180" t="s">
        <v>39</v>
      </c>
      <c r="D13" s="180">
        <v>6</v>
      </c>
      <c r="E13" s="180"/>
      <c r="F13" s="181">
        <v>16</v>
      </c>
      <c r="G13" s="179">
        <f t="shared" si="0"/>
        <v>1308.33</v>
      </c>
      <c r="H13" s="179">
        <f>277.1+164.43+200</f>
        <v>641.53</v>
      </c>
      <c r="I13" s="179">
        <f>482.9+383.9-200</f>
        <v>666.8</v>
      </c>
      <c r="J13" s="179">
        <f t="shared" si="1"/>
        <v>1220.3499999999999</v>
      </c>
      <c r="K13" s="179">
        <f>263+130.88</f>
        <v>393.88</v>
      </c>
      <c r="L13" s="179">
        <f>461.1+365.37</f>
        <v>826.47</v>
      </c>
      <c r="M13" s="179">
        <f t="shared" si="2"/>
        <v>1215.75</v>
      </c>
      <c r="N13" s="179">
        <f>263+130.88</f>
        <v>393.88</v>
      </c>
      <c r="O13" s="179">
        <f>456.5+365.37</f>
        <v>821.87</v>
      </c>
      <c r="P13" s="179">
        <f t="shared" si="3"/>
        <v>1183.6500000000001</v>
      </c>
      <c r="Q13" s="179">
        <f>236.9+130.88</f>
        <v>367.78</v>
      </c>
      <c r="R13" s="179">
        <f>450.5+365.37</f>
        <v>815.87</v>
      </c>
      <c r="S13" s="182">
        <f t="shared" si="4"/>
        <v>73.978125000000006</v>
      </c>
    </row>
    <row r="14" spans="1:19">
      <c r="A14" s="2">
        <v>8</v>
      </c>
      <c r="B14" s="2" t="s">
        <v>16</v>
      </c>
      <c r="C14" s="138" t="s">
        <v>18</v>
      </c>
      <c r="D14" s="138">
        <v>7</v>
      </c>
      <c r="E14" s="138"/>
      <c r="F14" s="71">
        <v>70</v>
      </c>
      <c r="G14" s="6">
        <f t="shared" si="0"/>
        <v>648.04</v>
      </c>
      <c r="H14" s="5">
        <v>317.19</v>
      </c>
      <c r="I14" s="5">
        <v>330.85</v>
      </c>
      <c r="J14" s="5">
        <f t="shared" si="1"/>
        <v>787.56999999999994</v>
      </c>
      <c r="K14" s="5">
        <v>407.69</v>
      </c>
      <c r="L14" s="5">
        <v>379.88</v>
      </c>
      <c r="M14" s="5">
        <f t="shared" si="2"/>
        <v>747.8</v>
      </c>
      <c r="N14" s="5">
        <v>443.91</v>
      </c>
      <c r="O14" s="5">
        <v>303.89</v>
      </c>
      <c r="P14" s="5">
        <f t="shared" si="3"/>
        <v>1037.9499999999998</v>
      </c>
      <c r="Q14" s="6">
        <f>462.58+100</f>
        <v>562.57999999999993</v>
      </c>
      <c r="R14" s="6">
        <f>275.37+200</f>
        <v>475.37</v>
      </c>
      <c r="S14" s="6">
        <f t="shared" si="4"/>
        <v>14.827857142857141</v>
      </c>
    </row>
    <row r="15" spans="1:19">
      <c r="A15" s="2">
        <v>9</v>
      </c>
      <c r="B15" s="2" t="s">
        <v>16</v>
      </c>
      <c r="C15" s="2" t="s">
        <v>19</v>
      </c>
      <c r="D15" s="2">
        <v>35</v>
      </c>
      <c r="E15" s="2" t="s">
        <v>21</v>
      </c>
      <c r="F15" s="71">
        <v>99</v>
      </c>
      <c r="G15" s="6">
        <f t="shared" si="0"/>
        <v>833.61999999999989</v>
      </c>
      <c r="H15" s="5">
        <v>516.91</v>
      </c>
      <c r="I15" s="5">
        <v>316.70999999999998</v>
      </c>
      <c r="J15" s="5">
        <f t="shared" si="1"/>
        <v>757.41</v>
      </c>
      <c r="K15" s="5">
        <v>418.59</v>
      </c>
      <c r="L15" s="5">
        <v>338.82</v>
      </c>
      <c r="M15" s="5">
        <f t="shared" si="2"/>
        <v>736.17</v>
      </c>
      <c r="N15" s="5">
        <v>496.89</v>
      </c>
      <c r="O15" s="5">
        <v>239.28</v>
      </c>
      <c r="P15" s="5">
        <f t="shared" si="3"/>
        <v>884.8599999999999</v>
      </c>
      <c r="Q15" s="6">
        <v>459.7</v>
      </c>
      <c r="R15" s="6">
        <f>252.56+172.6</f>
        <v>425.15999999999997</v>
      </c>
      <c r="S15" s="6">
        <f t="shared" si="4"/>
        <v>8.9379797979797964</v>
      </c>
    </row>
    <row r="16" spans="1:19" s="8" customFormat="1">
      <c r="A16" s="7">
        <f>A15+1</f>
        <v>10</v>
      </c>
      <c r="B16" s="7" t="s">
        <v>16</v>
      </c>
      <c r="C16" s="138" t="s">
        <v>19</v>
      </c>
      <c r="D16" s="138">
        <v>33</v>
      </c>
      <c r="E16" s="138" t="s">
        <v>21</v>
      </c>
      <c r="F16" s="71">
        <v>79</v>
      </c>
      <c r="G16" s="6">
        <f t="shared" si="0"/>
        <v>657.57999999999993</v>
      </c>
      <c r="H16" s="5">
        <v>405.15</v>
      </c>
      <c r="I16" s="5">
        <v>252.43</v>
      </c>
      <c r="J16" s="5">
        <f t="shared" si="1"/>
        <v>644.77</v>
      </c>
      <c r="K16" s="5">
        <v>346.26</v>
      </c>
      <c r="L16" s="5">
        <v>298.51</v>
      </c>
      <c r="M16" s="5">
        <f t="shared" si="2"/>
        <v>633.91</v>
      </c>
      <c r="N16" s="5">
        <v>398.83</v>
      </c>
      <c r="O16" s="5">
        <v>235.08</v>
      </c>
      <c r="P16" s="5">
        <f t="shared" si="3"/>
        <v>796.07999999999993</v>
      </c>
      <c r="Q16" s="6">
        <f>394.75+193.07</f>
        <v>587.81999999999994</v>
      </c>
      <c r="R16" s="6">
        <f>208.26</f>
        <v>208.26</v>
      </c>
      <c r="S16" s="6">
        <f t="shared" si="4"/>
        <v>10.076962025316455</v>
      </c>
    </row>
    <row r="17" spans="1:19" s="8" customFormat="1">
      <c r="A17" s="7">
        <f t="shared" ref="A17:A47" si="5">A16+1</f>
        <v>11</v>
      </c>
      <c r="B17" s="7" t="s">
        <v>16</v>
      </c>
      <c r="C17" s="138" t="s">
        <v>32</v>
      </c>
      <c r="D17" s="138">
        <v>9</v>
      </c>
      <c r="E17" s="138"/>
      <c r="F17" s="71">
        <v>52</v>
      </c>
      <c r="G17" s="5">
        <f t="shared" si="0"/>
        <v>801.30000000000007</v>
      </c>
      <c r="H17" s="6">
        <f>198.1+200</f>
        <v>398.1</v>
      </c>
      <c r="I17" s="6">
        <f>603.2-200</f>
        <v>403.20000000000005</v>
      </c>
      <c r="J17" s="6">
        <f t="shared" si="1"/>
        <v>778.3</v>
      </c>
      <c r="K17" s="6">
        <v>194.4</v>
      </c>
      <c r="L17" s="6">
        <v>583.9</v>
      </c>
      <c r="M17" s="6">
        <f t="shared" si="2"/>
        <v>733.9</v>
      </c>
      <c r="N17" s="6">
        <v>187.9</v>
      </c>
      <c r="O17" s="6">
        <v>546</v>
      </c>
      <c r="P17" s="6">
        <f t="shared" si="3"/>
        <v>708.90000000000009</v>
      </c>
      <c r="Q17" s="6">
        <f>187.8</f>
        <v>187.8</v>
      </c>
      <c r="R17" s="6">
        <f>521.1</f>
        <v>521.1</v>
      </c>
      <c r="S17" s="6">
        <f t="shared" si="4"/>
        <v>13.632692307692309</v>
      </c>
    </row>
    <row r="18" spans="1:19" s="8" customFormat="1">
      <c r="A18" s="7">
        <f t="shared" si="5"/>
        <v>12</v>
      </c>
      <c r="B18" s="7" t="s">
        <v>16</v>
      </c>
      <c r="C18" s="7" t="s">
        <v>38</v>
      </c>
      <c r="D18" s="7">
        <v>12</v>
      </c>
      <c r="E18" s="7"/>
      <c r="F18" s="72">
        <v>12</v>
      </c>
      <c r="G18" s="6">
        <f t="shared" si="0"/>
        <v>797.42</v>
      </c>
      <c r="H18" s="6">
        <f>90.3+121.29+100+100</f>
        <v>411.59000000000003</v>
      </c>
      <c r="I18" s="6">
        <f>254.7+331.13-100-100</f>
        <v>385.82999999999993</v>
      </c>
      <c r="J18" s="6">
        <f t="shared" si="1"/>
        <v>728.73</v>
      </c>
      <c r="K18" s="6">
        <f>78.8+92.72</f>
        <v>171.51999999999998</v>
      </c>
      <c r="L18" s="6">
        <f>254.8+302.41</f>
        <v>557.21</v>
      </c>
      <c r="M18" s="6">
        <f t="shared" si="2"/>
        <v>707.25</v>
      </c>
      <c r="N18" s="6">
        <f>66.4+89.76</f>
        <v>156.16000000000003</v>
      </c>
      <c r="O18" s="6">
        <f>254.1+296.99</f>
        <v>551.09</v>
      </c>
      <c r="P18" s="6">
        <f t="shared" si="3"/>
        <v>702.56999999999994</v>
      </c>
      <c r="Q18" s="6">
        <f>66.4+89.76</f>
        <v>156.16000000000003</v>
      </c>
      <c r="R18" s="6">
        <f>254.1+292.31</f>
        <v>546.41</v>
      </c>
      <c r="S18" s="6">
        <f t="shared" si="4"/>
        <v>58.547499999999992</v>
      </c>
    </row>
    <row r="19" spans="1:19">
      <c r="A19" s="7">
        <f t="shared" si="5"/>
        <v>13</v>
      </c>
      <c r="B19" s="2" t="s">
        <v>16</v>
      </c>
      <c r="C19" s="138" t="s">
        <v>42</v>
      </c>
      <c r="D19" s="138">
        <v>20</v>
      </c>
      <c r="E19" s="138"/>
      <c r="F19" s="71">
        <v>72</v>
      </c>
      <c r="G19" s="5">
        <f t="shared" si="0"/>
        <v>770.17000000000007</v>
      </c>
      <c r="H19" s="6">
        <f>193.7+145.56</f>
        <v>339.26</v>
      </c>
      <c r="I19" s="6">
        <f>224.8+206.11</f>
        <v>430.91</v>
      </c>
      <c r="J19" s="6">
        <f t="shared" si="1"/>
        <v>553.58999999999992</v>
      </c>
      <c r="K19" s="6">
        <f>171.2+60.94</f>
        <v>232.14</v>
      </c>
      <c r="L19" s="6">
        <f>217.6+103.85</f>
        <v>321.45</v>
      </c>
      <c r="M19" s="6">
        <f t="shared" si="2"/>
        <v>553.57999999999993</v>
      </c>
      <c r="N19" s="6">
        <f>171.2+60.94</f>
        <v>232.14</v>
      </c>
      <c r="O19" s="6">
        <f>217.6+103.84</f>
        <v>321.44</v>
      </c>
      <c r="P19" s="6">
        <f t="shared" si="3"/>
        <v>555.20000000000005</v>
      </c>
      <c r="Q19" s="6">
        <f>171.2+60.94</f>
        <v>232.14</v>
      </c>
      <c r="R19" s="6">
        <f>217.6+105.46</f>
        <v>323.06</v>
      </c>
      <c r="S19" s="6">
        <f t="shared" si="4"/>
        <v>7.7111111111111121</v>
      </c>
    </row>
    <row r="20" spans="1:19" s="8" customFormat="1">
      <c r="A20" s="7">
        <f t="shared" si="5"/>
        <v>14</v>
      </c>
      <c r="B20" s="7" t="s">
        <v>16</v>
      </c>
      <c r="C20" s="7" t="s">
        <v>34</v>
      </c>
      <c r="D20" s="7">
        <v>33</v>
      </c>
      <c r="E20" s="7"/>
      <c r="F20" s="72">
        <v>16</v>
      </c>
      <c r="G20" s="6">
        <f t="shared" si="0"/>
        <v>668.53</v>
      </c>
      <c r="H20" s="6">
        <f>144.6+140.93+50</f>
        <v>335.53</v>
      </c>
      <c r="I20" s="6">
        <f>211.2+171.8-50</f>
        <v>333</v>
      </c>
      <c r="J20" s="6">
        <f t="shared" si="1"/>
        <v>523.67000000000007</v>
      </c>
      <c r="K20" s="6">
        <f>137.8+87.37</f>
        <v>225.17000000000002</v>
      </c>
      <c r="L20" s="6">
        <f>195.6+102.9</f>
        <v>298.5</v>
      </c>
      <c r="M20" s="6">
        <f t="shared" si="2"/>
        <v>505.61</v>
      </c>
      <c r="N20" s="6">
        <f>137.8+78.74</f>
        <v>216.54000000000002</v>
      </c>
      <c r="O20" s="6">
        <f>195.6+93.47</f>
        <v>289.07</v>
      </c>
      <c r="P20" s="6">
        <f t="shared" si="3"/>
        <v>501.73</v>
      </c>
      <c r="Q20" s="6">
        <f>137.8+76.94</f>
        <v>214.74</v>
      </c>
      <c r="R20" s="6">
        <f>195.6+91.39</f>
        <v>286.99</v>
      </c>
      <c r="S20" s="6">
        <f t="shared" si="4"/>
        <v>31.358125000000001</v>
      </c>
    </row>
    <row r="21" spans="1:19">
      <c r="A21" s="7">
        <f t="shared" si="5"/>
        <v>15</v>
      </c>
      <c r="B21" s="2" t="s">
        <v>16</v>
      </c>
      <c r="C21" s="7" t="s">
        <v>36</v>
      </c>
      <c r="D21" s="7">
        <v>30</v>
      </c>
      <c r="E21" s="7"/>
      <c r="F21" s="72">
        <v>19</v>
      </c>
      <c r="G21" s="6">
        <f t="shared" si="0"/>
        <v>561.63</v>
      </c>
      <c r="H21" s="6">
        <f>92.2+82.23+100</f>
        <v>274.43</v>
      </c>
      <c r="I21" s="6">
        <f>168.2+219-100</f>
        <v>287.2</v>
      </c>
      <c r="J21" s="6">
        <f t="shared" si="1"/>
        <v>469.68</v>
      </c>
      <c r="K21" s="6">
        <f>92.2+53.99</f>
        <v>146.19</v>
      </c>
      <c r="L21" s="6">
        <f>168.2+155.29</f>
        <v>323.49</v>
      </c>
      <c r="M21" s="6">
        <f t="shared" si="2"/>
        <v>469.68</v>
      </c>
      <c r="N21" s="6">
        <f>92.2+53.99</f>
        <v>146.19</v>
      </c>
      <c r="O21" s="6">
        <f>168.2+155.29</f>
        <v>323.49</v>
      </c>
      <c r="P21" s="6">
        <f t="shared" si="3"/>
        <v>469.68</v>
      </c>
      <c r="Q21" s="6">
        <f>92.2+53.99</f>
        <v>146.19</v>
      </c>
      <c r="R21" s="6">
        <f>168.2+155.29</f>
        <v>323.49</v>
      </c>
      <c r="S21" s="6">
        <f t="shared" si="4"/>
        <v>24.72</v>
      </c>
    </row>
    <row r="22" spans="1:19" s="8" customFormat="1">
      <c r="A22" s="7">
        <f t="shared" si="5"/>
        <v>16</v>
      </c>
      <c r="B22" s="7" t="s">
        <v>16</v>
      </c>
      <c r="C22" s="7" t="s">
        <v>38</v>
      </c>
      <c r="D22" s="7">
        <v>6</v>
      </c>
      <c r="E22" s="7"/>
      <c r="F22" s="72">
        <v>12</v>
      </c>
      <c r="G22" s="6">
        <f t="shared" si="0"/>
        <v>413.74</v>
      </c>
      <c r="H22" s="6">
        <f>73.3+69.8+50</f>
        <v>193.1</v>
      </c>
      <c r="I22" s="6">
        <f>148.7+121.94-50</f>
        <v>220.64</v>
      </c>
      <c r="J22" s="6">
        <f t="shared" si="1"/>
        <v>360.15999999999997</v>
      </c>
      <c r="K22" s="6">
        <f>61+68.06</f>
        <v>129.06</v>
      </c>
      <c r="L22" s="6">
        <f>120.8+110.3</f>
        <v>231.1</v>
      </c>
      <c r="M22" s="6">
        <f t="shared" si="2"/>
        <v>360.06</v>
      </c>
      <c r="N22" s="6">
        <f>61+68.06</f>
        <v>129.06</v>
      </c>
      <c r="O22" s="6">
        <f>120.7+110.3</f>
        <v>231</v>
      </c>
      <c r="P22" s="6">
        <f t="shared" si="3"/>
        <v>360.06</v>
      </c>
      <c r="Q22" s="6">
        <f>61+68.06</f>
        <v>129.06</v>
      </c>
      <c r="R22" s="6">
        <f>120.7+110.3</f>
        <v>231</v>
      </c>
      <c r="S22" s="6">
        <f t="shared" si="4"/>
        <v>30.004999999999999</v>
      </c>
    </row>
    <row r="23" spans="1:19" s="8" customFormat="1">
      <c r="A23" s="7">
        <f t="shared" si="5"/>
        <v>17</v>
      </c>
      <c r="B23" s="7" t="s">
        <v>16</v>
      </c>
      <c r="C23" s="7" t="s">
        <v>29</v>
      </c>
      <c r="D23" s="7">
        <v>32</v>
      </c>
      <c r="E23" s="7"/>
      <c r="F23" s="72">
        <v>22</v>
      </c>
      <c r="G23" s="6">
        <f t="shared" si="0"/>
        <v>288.76</v>
      </c>
      <c r="H23" s="6">
        <f>86.02+35.17+50</f>
        <v>171.19</v>
      </c>
      <c r="I23" s="6">
        <f>119.2+48.37-50</f>
        <v>117.57</v>
      </c>
      <c r="J23" s="6">
        <f t="shared" si="1"/>
        <v>244.94</v>
      </c>
      <c r="K23" s="6">
        <f>78.1+35.17</f>
        <v>113.27</v>
      </c>
      <c r="L23" s="6">
        <f>83.3+48.37</f>
        <v>131.66999999999999</v>
      </c>
      <c r="M23" s="6">
        <f t="shared" si="2"/>
        <v>269.94</v>
      </c>
      <c r="N23" s="6">
        <f>78.1+35.17</f>
        <v>113.27</v>
      </c>
      <c r="O23" s="6">
        <f>108.3+48.37</f>
        <v>156.66999999999999</v>
      </c>
      <c r="P23" s="6">
        <f t="shared" si="3"/>
        <v>269.94</v>
      </c>
      <c r="Q23" s="6">
        <f>78.1+35.17</f>
        <v>113.27</v>
      </c>
      <c r="R23" s="6">
        <f>108.3+48.37</f>
        <v>156.66999999999999</v>
      </c>
      <c r="S23" s="6">
        <f t="shared" si="4"/>
        <v>12.27</v>
      </c>
    </row>
    <row r="24" spans="1:19" s="8" customFormat="1">
      <c r="A24" s="7">
        <f t="shared" si="5"/>
        <v>18</v>
      </c>
      <c r="B24" s="7" t="s">
        <v>16</v>
      </c>
      <c r="C24" s="7" t="s">
        <v>39</v>
      </c>
      <c r="D24" s="7">
        <v>8</v>
      </c>
      <c r="E24" s="7"/>
      <c r="F24" s="72">
        <v>12</v>
      </c>
      <c r="G24" s="6">
        <f t="shared" si="0"/>
        <v>353.99</v>
      </c>
      <c r="H24" s="6">
        <f>57.8+49.02+50</f>
        <v>156.82</v>
      </c>
      <c r="I24" s="6">
        <f>113.3+133.87-50</f>
        <v>197.17000000000002</v>
      </c>
      <c r="J24" s="6">
        <f t="shared" si="1"/>
        <v>220.32999999999998</v>
      </c>
      <c r="K24" s="6">
        <f>57.8+23.34</f>
        <v>81.14</v>
      </c>
      <c r="L24" s="6">
        <f>86.1+53.09</f>
        <v>139.19</v>
      </c>
      <c r="M24" s="6">
        <f t="shared" si="2"/>
        <v>220.32999999999998</v>
      </c>
      <c r="N24" s="6">
        <f>57.8+23.34</f>
        <v>81.14</v>
      </c>
      <c r="O24" s="6">
        <f>86.1+53.09</f>
        <v>139.19</v>
      </c>
      <c r="P24" s="6">
        <f t="shared" si="3"/>
        <v>220.32999999999998</v>
      </c>
      <c r="Q24" s="6">
        <f>57.8+23.34</f>
        <v>81.14</v>
      </c>
      <c r="R24" s="6">
        <f>86.1+53.09</f>
        <v>139.19</v>
      </c>
      <c r="S24" s="6">
        <f t="shared" si="4"/>
        <v>18.360833333333332</v>
      </c>
    </row>
    <row r="25" spans="1:19" s="8" customFormat="1">
      <c r="A25" s="7">
        <f t="shared" si="5"/>
        <v>19</v>
      </c>
      <c r="B25" s="7" t="s">
        <v>16</v>
      </c>
      <c r="C25" s="138" t="s">
        <v>27</v>
      </c>
      <c r="D25" s="138">
        <v>20</v>
      </c>
      <c r="E25" s="138"/>
      <c r="F25" s="71">
        <v>24</v>
      </c>
      <c r="G25" s="5">
        <f t="shared" si="0"/>
        <v>174.9</v>
      </c>
      <c r="H25" s="6">
        <v>61</v>
      </c>
      <c r="I25" s="6">
        <v>113.9</v>
      </c>
      <c r="J25" s="6">
        <f t="shared" si="1"/>
        <v>199.9</v>
      </c>
      <c r="K25" s="6">
        <v>61</v>
      </c>
      <c r="L25" s="6">
        <v>138.9</v>
      </c>
      <c r="M25" s="6">
        <f t="shared" si="2"/>
        <v>174.9</v>
      </c>
      <c r="N25" s="6">
        <v>61</v>
      </c>
      <c r="O25" s="6">
        <v>113.9</v>
      </c>
      <c r="P25" s="6">
        <f t="shared" si="3"/>
        <v>174.9</v>
      </c>
      <c r="Q25" s="6">
        <v>61</v>
      </c>
      <c r="R25" s="6">
        <f>113.9</f>
        <v>113.9</v>
      </c>
      <c r="S25" s="6">
        <f t="shared" si="4"/>
        <v>7.2875000000000005</v>
      </c>
    </row>
    <row r="26" spans="1:19" s="8" customFormat="1">
      <c r="A26" s="7">
        <f t="shared" si="5"/>
        <v>20</v>
      </c>
      <c r="B26" s="7" t="s">
        <v>16</v>
      </c>
      <c r="C26" s="7" t="s">
        <v>30</v>
      </c>
      <c r="D26" s="7">
        <v>1</v>
      </c>
      <c r="E26" s="7"/>
      <c r="F26" s="72">
        <v>12</v>
      </c>
      <c r="G26" s="6">
        <f t="shared" si="0"/>
        <v>199.72000000000003</v>
      </c>
      <c r="H26" s="6">
        <f>110.5+41.99</f>
        <v>152.49</v>
      </c>
      <c r="I26" s="6">
        <f>32.5+14.73</f>
        <v>47.230000000000004</v>
      </c>
      <c r="J26" s="6">
        <f t="shared" si="1"/>
        <v>166.69</v>
      </c>
      <c r="K26" s="6">
        <f>110.5+16.47</f>
        <v>126.97</v>
      </c>
      <c r="L26" s="6">
        <f>32.5+7.22</f>
        <v>39.72</v>
      </c>
      <c r="M26" s="6">
        <f t="shared" si="2"/>
        <v>166.69</v>
      </c>
      <c r="N26" s="6">
        <f>110.5+16.47</f>
        <v>126.97</v>
      </c>
      <c r="O26" s="6">
        <f>32.5+7.22</f>
        <v>39.72</v>
      </c>
      <c r="P26" s="6">
        <f t="shared" si="3"/>
        <v>166.69</v>
      </c>
      <c r="Q26" s="6">
        <f>110.5+16.47</f>
        <v>126.97</v>
      </c>
      <c r="R26" s="6">
        <f>32.5+7.22</f>
        <v>39.72</v>
      </c>
      <c r="S26" s="6">
        <f t="shared" si="4"/>
        <v>13.890833333333333</v>
      </c>
    </row>
    <row r="27" spans="1:19">
      <c r="A27" s="7">
        <f t="shared" si="5"/>
        <v>21</v>
      </c>
      <c r="B27" s="2" t="s">
        <v>16</v>
      </c>
      <c r="C27" s="7" t="s">
        <v>24</v>
      </c>
      <c r="D27" s="7">
        <v>6</v>
      </c>
      <c r="E27" s="7"/>
      <c r="F27" s="72">
        <v>12</v>
      </c>
      <c r="G27" s="6">
        <f t="shared" si="0"/>
        <v>173.52</v>
      </c>
      <c r="H27" s="6">
        <f>20.1+40.32</f>
        <v>60.42</v>
      </c>
      <c r="I27" s="6">
        <f>42.31+70.79</f>
        <v>113.10000000000001</v>
      </c>
      <c r="J27" s="6">
        <f t="shared" si="1"/>
        <v>127.80000000000001</v>
      </c>
      <c r="K27" s="6">
        <f>20.1+23.89</f>
        <v>43.99</v>
      </c>
      <c r="L27" s="6">
        <f>41.8+42.01</f>
        <v>83.81</v>
      </c>
      <c r="M27" s="6">
        <f t="shared" si="2"/>
        <v>127.80000000000001</v>
      </c>
      <c r="N27" s="6">
        <f>20.1+23.89</f>
        <v>43.99</v>
      </c>
      <c r="O27" s="6">
        <f>41.8+42.01</f>
        <v>83.81</v>
      </c>
      <c r="P27" s="6">
        <f t="shared" si="3"/>
        <v>127.80000000000001</v>
      </c>
      <c r="Q27" s="6">
        <f>20.1+23.89</f>
        <v>43.99</v>
      </c>
      <c r="R27" s="6">
        <f>41.8+42.01</f>
        <v>83.81</v>
      </c>
      <c r="S27" s="6">
        <f t="shared" si="4"/>
        <v>10.65</v>
      </c>
    </row>
    <row r="28" spans="1:19" s="8" customFormat="1" ht="28.5" customHeight="1">
      <c r="A28" s="7">
        <f t="shared" si="5"/>
        <v>22</v>
      </c>
      <c r="B28" s="7" t="s">
        <v>16</v>
      </c>
      <c r="C28" s="7" t="s">
        <v>25</v>
      </c>
      <c r="D28" s="7">
        <v>12</v>
      </c>
      <c r="E28" s="7"/>
      <c r="F28" s="72">
        <v>8</v>
      </c>
      <c r="G28" s="6">
        <f t="shared" si="0"/>
        <v>129.13</v>
      </c>
      <c r="H28" s="6">
        <f>115.1+11.88</f>
        <v>126.97999999999999</v>
      </c>
      <c r="I28" s="6">
        <f>1.9+0.25</f>
        <v>2.15</v>
      </c>
      <c r="J28" s="6">
        <f t="shared" si="1"/>
        <v>126.79</v>
      </c>
      <c r="K28" s="6">
        <f>114.4+10.24</f>
        <v>124.64</v>
      </c>
      <c r="L28" s="6">
        <f>1.9+0.25</f>
        <v>2.15</v>
      </c>
      <c r="M28" s="6">
        <f t="shared" si="2"/>
        <v>126.59</v>
      </c>
      <c r="N28" s="6">
        <f>114.4+10.24</f>
        <v>124.64</v>
      </c>
      <c r="O28" s="6">
        <f>1.7+0.25</f>
        <v>1.95</v>
      </c>
      <c r="P28" s="6">
        <f t="shared" si="3"/>
        <v>120.58999999999999</v>
      </c>
      <c r="Q28" s="6">
        <f>109.1+10.24</f>
        <v>119.33999999999999</v>
      </c>
      <c r="R28" s="6">
        <f>1+0.25</f>
        <v>1.25</v>
      </c>
      <c r="S28" s="6">
        <f t="shared" si="4"/>
        <v>15.073749999999999</v>
      </c>
    </row>
    <row r="29" spans="1:19" s="11" customFormat="1" ht="35.25" customHeight="1">
      <c r="A29" s="7">
        <f t="shared" si="5"/>
        <v>23</v>
      </c>
      <c r="B29" s="9" t="s">
        <v>16</v>
      </c>
      <c r="C29" s="7" t="s">
        <v>36</v>
      </c>
      <c r="D29" s="7">
        <v>32</v>
      </c>
      <c r="E29" s="7"/>
      <c r="F29" s="72">
        <v>12</v>
      </c>
      <c r="G29" s="6">
        <f t="shared" si="0"/>
        <v>262.41000000000003</v>
      </c>
      <c r="H29" s="6">
        <f>29.8+67.37</f>
        <v>97.17</v>
      </c>
      <c r="I29" s="6">
        <f>56.1+109.14</f>
        <v>165.24</v>
      </c>
      <c r="J29" s="6">
        <f t="shared" si="1"/>
        <v>132.59</v>
      </c>
      <c r="K29" s="6">
        <f>9.8+24.26</f>
        <v>34.06</v>
      </c>
      <c r="L29" s="6">
        <f>56.1+42.43</f>
        <v>98.53</v>
      </c>
      <c r="M29" s="6">
        <f t="shared" si="2"/>
        <v>132.59</v>
      </c>
      <c r="N29" s="6">
        <f>9.8+24.26</f>
        <v>34.06</v>
      </c>
      <c r="O29" s="6">
        <f>56.1+42.43</f>
        <v>98.53</v>
      </c>
      <c r="P29" s="6">
        <f t="shared" si="3"/>
        <v>117.59</v>
      </c>
      <c r="Q29" s="6">
        <v>24.26</v>
      </c>
      <c r="R29" s="6">
        <f>50.9+42.43</f>
        <v>93.33</v>
      </c>
      <c r="S29" s="6">
        <f t="shared" si="4"/>
        <v>9.7991666666666664</v>
      </c>
    </row>
    <row r="30" spans="1:19">
      <c r="A30" s="7">
        <f t="shared" si="5"/>
        <v>24</v>
      </c>
      <c r="B30" s="2" t="s">
        <v>16</v>
      </c>
      <c r="C30" s="9" t="s">
        <v>31</v>
      </c>
      <c r="D30" s="9">
        <v>66</v>
      </c>
      <c r="E30" s="9" t="s">
        <v>20</v>
      </c>
      <c r="F30" s="73">
        <v>2</v>
      </c>
      <c r="G30" s="10">
        <f t="shared" si="0"/>
        <v>71.05</v>
      </c>
      <c r="H30" s="10">
        <f>49.9+20.4</f>
        <v>70.3</v>
      </c>
      <c r="I30" s="10">
        <f>0.6+0.15</f>
        <v>0.75</v>
      </c>
      <c r="J30" s="10">
        <f t="shared" si="1"/>
        <v>71.09</v>
      </c>
      <c r="K30" s="10">
        <f>49.9+20.4</f>
        <v>70.3</v>
      </c>
      <c r="L30" s="10">
        <f>0.6+0.19</f>
        <v>0.79</v>
      </c>
      <c r="M30" s="10">
        <f t="shared" si="2"/>
        <v>71.09</v>
      </c>
      <c r="N30" s="10">
        <f>49.9+20.4</f>
        <v>70.3</v>
      </c>
      <c r="O30" s="10">
        <f>0.6+0.19</f>
        <v>0.79</v>
      </c>
      <c r="P30" s="10">
        <f t="shared" si="3"/>
        <v>71.09</v>
      </c>
      <c r="Q30" s="10">
        <f>49.9+20.4</f>
        <v>70.3</v>
      </c>
      <c r="R30" s="10">
        <f>0.6+0.19</f>
        <v>0.79</v>
      </c>
      <c r="S30" s="6">
        <f t="shared" si="4"/>
        <v>35.545000000000002</v>
      </c>
    </row>
    <row r="31" spans="1:19">
      <c r="A31" s="7">
        <f t="shared" si="5"/>
        <v>25</v>
      </c>
      <c r="B31" s="2" t="s">
        <v>16</v>
      </c>
      <c r="C31" s="7" t="s">
        <v>25</v>
      </c>
      <c r="D31" s="7">
        <v>14</v>
      </c>
      <c r="E31" s="7"/>
      <c r="F31" s="72">
        <v>8</v>
      </c>
      <c r="G31" s="6">
        <f t="shared" si="0"/>
        <v>127.86</v>
      </c>
      <c r="H31" s="6">
        <f>70.7+55.66</f>
        <v>126.36</v>
      </c>
      <c r="I31" s="6">
        <f>0.7+0.8</f>
        <v>1.5</v>
      </c>
      <c r="J31" s="6">
        <f t="shared" si="1"/>
        <v>79.89</v>
      </c>
      <c r="K31" s="6">
        <f>51.3+27.64</f>
        <v>78.94</v>
      </c>
      <c r="L31" s="6">
        <f>0.7+0.25</f>
        <v>0.95</v>
      </c>
      <c r="M31" s="6">
        <f t="shared" si="2"/>
        <v>70.790000000000006</v>
      </c>
      <c r="N31" s="6">
        <f>42.2+27.64</f>
        <v>69.84</v>
      </c>
      <c r="O31" s="6">
        <f>0.7+0.25</f>
        <v>0.95</v>
      </c>
      <c r="P31" s="6">
        <f t="shared" si="3"/>
        <v>63.290000000000006</v>
      </c>
      <c r="Q31" s="6">
        <f>34.7+27.64</f>
        <v>62.34</v>
      </c>
      <c r="R31" s="6">
        <f>0.7+0.25</f>
        <v>0.95</v>
      </c>
      <c r="S31" s="6">
        <f t="shared" si="4"/>
        <v>7.9112500000000008</v>
      </c>
    </row>
    <row r="32" spans="1:19" s="8" customFormat="1">
      <c r="A32" s="7">
        <f t="shared" si="5"/>
        <v>26</v>
      </c>
      <c r="B32" s="7" t="s">
        <v>16</v>
      </c>
      <c r="C32" s="7" t="s">
        <v>34</v>
      </c>
      <c r="D32" s="7">
        <v>45</v>
      </c>
      <c r="E32" s="7"/>
      <c r="F32" s="72">
        <v>12</v>
      </c>
      <c r="G32" s="6">
        <f t="shared" si="0"/>
        <v>87.22999999999999</v>
      </c>
      <c r="H32" s="6">
        <f>32.9+42.29</f>
        <v>75.19</v>
      </c>
      <c r="I32" s="6">
        <f>6.4+5.64</f>
        <v>12.04</v>
      </c>
      <c r="J32" s="6">
        <f t="shared" si="1"/>
        <v>50.17</v>
      </c>
      <c r="K32" s="6">
        <f>31.7+11.64</f>
        <v>43.34</v>
      </c>
      <c r="L32" s="6">
        <f>5+1.83</f>
        <v>6.83</v>
      </c>
      <c r="M32" s="6">
        <f t="shared" si="2"/>
        <v>50.17</v>
      </c>
      <c r="N32" s="6">
        <f>31.7+11.64</f>
        <v>43.34</v>
      </c>
      <c r="O32" s="6">
        <f>5+1.83</f>
        <v>6.83</v>
      </c>
      <c r="P32" s="6">
        <f t="shared" si="3"/>
        <v>50.17</v>
      </c>
      <c r="Q32" s="6">
        <f>31.7+11.64</f>
        <v>43.34</v>
      </c>
      <c r="R32" s="6">
        <f>5+1.83</f>
        <v>6.83</v>
      </c>
      <c r="S32" s="6">
        <f t="shared" si="4"/>
        <v>4.1808333333333332</v>
      </c>
    </row>
    <row r="33" spans="1:20" s="8" customFormat="1">
      <c r="A33" s="7">
        <f t="shared" si="5"/>
        <v>27</v>
      </c>
      <c r="B33" s="7" t="s">
        <v>16</v>
      </c>
      <c r="C33" s="7" t="s">
        <v>31</v>
      </c>
      <c r="D33" s="7">
        <v>5</v>
      </c>
      <c r="E33" s="7"/>
      <c r="F33" s="72">
        <v>15</v>
      </c>
      <c r="G33" s="6">
        <f t="shared" si="0"/>
        <v>76.150000000000006</v>
      </c>
      <c r="H33" s="6">
        <v>17.399999999999999</v>
      </c>
      <c r="I33" s="6">
        <f>18.9+39.85</f>
        <v>58.75</v>
      </c>
      <c r="J33" s="6">
        <f t="shared" si="1"/>
        <v>47.42</v>
      </c>
      <c r="K33" s="6">
        <v>13.52</v>
      </c>
      <c r="L33" s="6">
        <f>14.8+19.1</f>
        <v>33.900000000000006</v>
      </c>
      <c r="M33" s="6">
        <f t="shared" si="2"/>
        <v>47.42</v>
      </c>
      <c r="N33" s="6">
        <v>13.52</v>
      </c>
      <c r="O33" s="6">
        <f>14.8+19.1</f>
        <v>33.900000000000006</v>
      </c>
      <c r="P33" s="6">
        <f t="shared" si="3"/>
        <v>47.42</v>
      </c>
      <c r="Q33" s="6">
        <v>13.52</v>
      </c>
      <c r="R33" s="6">
        <f>14.8+19.1</f>
        <v>33.900000000000006</v>
      </c>
      <c r="S33" s="6">
        <f t="shared" si="4"/>
        <v>3.1613333333333333</v>
      </c>
    </row>
    <row r="34" spans="1:20">
      <c r="A34" s="7">
        <f t="shared" si="5"/>
        <v>28</v>
      </c>
      <c r="B34" s="2" t="s">
        <v>16</v>
      </c>
      <c r="C34" s="7" t="s">
        <v>28</v>
      </c>
      <c r="D34" s="7">
        <v>4</v>
      </c>
      <c r="E34" s="7"/>
      <c r="F34" s="72">
        <v>12</v>
      </c>
      <c r="G34" s="6">
        <f t="shared" si="0"/>
        <v>55.24</v>
      </c>
      <c r="H34" s="6">
        <f>31.03+24.21</f>
        <v>55.24</v>
      </c>
      <c r="I34" s="6">
        <v>0</v>
      </c>
      <c r="J34" s="6">
        <f t="shared" si="1"/>
        <v>39.25</v>
      </c>
      <c r="K34" s="6">
        <f>29.4+9.85</f>
        <v>39.25</v>
      </c>
      <c r="L34" s="6">
        <v>0</v>
      </c>
      <c r="M34" s="6">
        <f t="shared" si="2"/>
        <v>39.25</v>
      </c>
      <c r="N34" s="6">
        <f>29.4+9.85</f>
        <v>39.25</v>
      </c>
      <c r="O34" s="6">
        <v>0</v>
      </c>
      <c r="P34" s="6">
        <f t="shared" si="3"/>
        <v>39.25</v>
      </c>
      <c r="Q34" s="6">
        <f>29.4+9.85</f>
        <v>39.25</v>
      </c>
      <c r="R34" s="6">
        <v>0</v>
      </c>
      <c r="S34" s="6">
        <f t="shared" si="4"/>
        <v>3.2708333333333335</v>
      </c>
    </row>
    <row r="35" spans="1:20" s="8" customFormat="1" ht="15" customHeight="1">
      <c r="A35" s="7">
        <f t="shared" si="5"/>
        <v>29</v>
      </c>
      <c r="B35" s="7" t="s">
        <v>16</v>
      </c>
      <c r="C35" s="7" t="s">
        <v>30</v>
      </c>
      <c r="D35" s="7">
        <v>3</v>
      </c>
      <c r="E35" s="7"/>
      <c r="F35" s="72">
        <v>12</v>
      </c>
      <c r="G35" s="6">
        <f t="shared" si="0"/>
        <v>82.09</v>
      </c>
      <c r="H35" s="6">
        <f>23.4+31.25</f>
        <v>54.65</v>
      </c>
      <c r="I35" s="6">
        <f>13.1+14.34</f>
        <v>27.439999999999998</v>
      </c>
      <c r="J35" s="6">
        <f t="shared" si="1"/>
        <v>33.229999999999997</v>
      </c>
      <c r="K35" s="6">
        <f>15.5+3.06</f>
        <v>18.559999999999999</v>
      </c>
      <c r="L35" s="6">
        <f>13.1+1.57</f>
        <v>14.67</v>
      </c>
      <c r="M35" s="6">
        <f t="shared" si="2"/>
        <v>33.229999999999997</v>
      </c>
      <c r="N35" s="6">
        <f>15.5+3.06</f>
        <v>18.559999999999999</v>
      </c>
      <c r="O35" s="6">
        <f>13.1+1.57</f>
        <v>14.67</v>
      </c>
      <c r="P35" s="6">
        <f t="shared" si="3"/>
        <v>33.229999999999997</v>
      </c>
      <c r="Q35" s="6">
        <f>15.5+3.06</f>
        <v>18.559999999999999</v>
      </c>
      <c r="R35" s="6">
        <f>13.1+1.57</f>
        <v>14.67</v>
      </c>
      <c r="S35" s="6">
        <f t="shared" si="4"/>
        <v>2.7691666666666666</v>
      </c>
    </row>
    <row r="36" spans="1:20" s="8" customFormat="1">
      <c r="A36" s="7">
        <f t="shared" si="5"/>
        <v>30</v>
      </c>
      <c r="B36" s="7" t="s">
        <v>16</v>
      </c>
      <c r="C36" s="138" t="s">
        <v>31</v>
      </c>
      <c r="D36" s="138">
        <v>43</v>
      </c>
      <c r="E36" s="138" t="s">
        <v>20</v>
      </c>
      <c r="F36" s="71">
        <v>12</v>
      </c>
      <c r="G36" s="5">
        <f t="shared" si="0"/>
        <v>31.1</v>
      </c>
      <c r="H36" s="6">
        <v>13.5</v>
      </c>
      <c r="I36" s="6">
        <v>17.600000000000001</v>
      </c>
      <c r="J36" s="6">
        <f t="shared" si="1"/>
        <v>31.1</v>
      </c>
      <c r="K36" s="6">
        <v>13.5</v>
      </c>
      <c r="L36" s="6">
        <v>17.600000000000001</v>
      </c>
      <c r="M36" s="6">
        <f t="shared" si="2"/>
        <v>31.1</v>
      </c>
      <c r="N36" s="6">
        <v>13.5</v>
      </c>
      <c r="O36" s="6">
        <v>17.600000000000001</v>
      </c>
      <c r="P36" s="6">
        <f t="shared" si="3"/>
        <v>31.1</v>
      </c>
      <c r="Q36" s="6">
        <f>13.5</f>
        <v>13.5</v>
      </c>
      <c r="R36" s="6">
        <f>17.6</f>
        <v>17.600000000000001</v>
      </c>
      <c r="S36" s="6">
        <f t="shared" si="4"/>
        <v>2.5916666666666668</v>
      </c>
    </row>
    <row r="37" spans="1:20">
      <c r="A37" s="7">
        <f t="shared" si="5"/>
        <v>31</v>
      </c>
      <c r="B37" s="2" t="s">
        <v>16</v>
      </c>
      <c r="C37" s="138" t="s">
        <v>31</v>
      </c>
      <c r="D37" s="138">
        <v>5</v>
      </c>
      <c r="E37" s="138" t="s">
        <v>20</v>
      </c>
      <c r="F37" s="71">
        <v>12</v>
      </c>
      <c r="G37" s="5">
        <f t="shared" si="0"/>
        <v>28.1</v>
      </c>
      <c r="H37" s="6">
        <v>10.6</v>
      </c>
      <c r="I37" s="6">
        <v>17.5</v>
      </c>
      <c r="J37" s="6">
        <f t="shared" si="1"/>
        <v>28.1</v>
      </c>
      <c r="K37" s="6">
        <v>10.6</v>
      </c>
      <c r="L37" s="6">
        <v>17.5</v>
      </c>
      <c r="M37" s="6">
        <f t="shared" si="2"/>
        <v>28.1</v>
      </c>
      <c r="N37" s="6">
        <v>10.6</v>
      </c>
      <c r="O37" s="6">
        <v>17.5</v>
      </c>
      <c r="P37" s="6">
        <f t="shared" si="3"/>
        <v>28.1</v>
      </c>
      <c r="Q37" s="6">
        <f>10.6</f>
        <v>10.6</v>
      </c>
      <c r="R37" s="6">
        <f>17.5</f>
        <v>17.5</v>
      </c>
      <c r="S37" s="6">
        <f t="shared" si="4"/>
        <v>2.3416666666666668</v>
      </c>
    </row>
    <row r="38" spans="1:20">
      <c r="A38" s="7">
        <f t="shared" si="5"/>
        <v>32</v>
      </c>
      <c r="B38" s="2" t="s">
        <v>16</v>
      </c>
      <c r="C38" s="138" t="s">
        <v>33</v>
      </c>
      <c r="D38" s="138">
        <v>25</v>
      </c>
      <c r="E38" s="138"/>
      <c r="F38" s="71">
        <v>8</v>
      </c>
      <c r="G38" s="5">
        <f t="shared" si="0"/>
        <v>43.8</v>
      </c>
      <c r="H38" s="6">
        <v>43.8</v>
      </c>
      <c r="I38" s="6">
        <v>0</v>
      </c>
      <c r="J38" s="6">
        <f t="shared" si="1"/>
        <v>23.8</v>
      </c>
      <c r="K38" s="6">
        <v>23.8</v>
      </c>
      <c r="L38" s="6">
        <v>0</v>
      </c>
      <c r="M38" s="6">
        <f t="shared" si="2"/>
        <v>23.8</v>
      </c>
      <c r="N38" s="6">
        <v>23.8</v>
      </c>
      <c r="O38" s="6">
        <v>0</v>
      </c>
      <c r="P38" s="6">
        <f t="shared" si="3"/>
        <v>23.8</v>
      </c>
      <c r="Q38" s="6">
        <f>23.8</f>
        <v>23.8</v>
      </c>
      <c r="R38" s="6">
        <v>0</v>
      </c>
      <c r="S38" s="6">
        <f t="shared" si="4"/>
        <v>2.9750000000000001</v>
      </c>
    </row>
    <row r="39" spans="1:20" s="8" customFormat="1">
      <c r="A39" s="7">
        <f t="shared" si="5"/>
        <v>33</v>
      </c>
      <c r="B39" s="7" t="s">
        <v>16</v>
      </c>
      <c r="C39" s="7" t="s">
        <v>30</v>
      </c>
      <c r="D39" s="7">
        <v>3</v>
      </c>
      <c r="E39" s="7" t="s">
        <v>21</v>
      </c>
      <c r="F39" s="72">
        <v>12</v>
      </c>
      <c r="G39" s="6">
        <f t="shared" si="0"/>
        <v>69.72999999999999</v>
      </c>
      <c r="H39" s="6">
        <f>8+29.38</f>
        <v>37.379999999999995</v>
      </c>
      <c r="I39" s="6">
        <f>16.3+16.05</f>
        <v>32.35</v>
      </c>
      <c r="J39" s="6">
        <f t="shared" si="1"/>
        <v>22.380000000000003</v>
      </c>
      <c r="K39" s="6">
        <f>1.8+10.98</f>
        <v>12.780000000000001</v>
      </c>
      <c r="L39" s="6">
        <f>0.6+9</f>
        <v>9.6</v>
      </c>
      <c r="M39" s="6">
        <f t="shared" si="2"/>
        <v>22.380000000000003</v>
      </c>
      <c r="N39" s="6">
        <f>1.8+10.98</f>
        <v>12.780000000000001</v>
      </c>
      <c r="O39" s="6">
        <f>0.6+9</f>
        <v>9.6</v>
      </c>
      <c r="P39" s="6">
        <f t="shared" si="3"/>
        <v>22.380000000000003</v>
      </c>
      <c r="Q39" s="6">
        <f>1.8+10.98</f>
        <v>12.780000000000001</v>
      </c>
      <c r="R39" s="6">
        <f>0.6+9</f>
        <v>9.6</v>
      </c>
      <c r="S39" s="6">
        <f t="shared" si="4"/>
        <v>1.8650000000000002</v>
      </c>
    </row>
    <row r="40" spans="1:20" s="8" customFormat="1">
      <c r="A40" s="7">
        <f t="shared" si="5"/>
        <v>34</v>
      </c>
      <c r="B40" s="7" t="s">
        <v>16</v>
      </c>
      <c r="C40" s="138" t="s">
        <v>36</v>
      </c>
      <c r="D40" s="138">
        <v>44</v>
      </c>
      <c r="E40" s="138"/>
      <c r="F40" s="71">
        <v>11</v>
      </c>
      <c r="G40" s="5">
        <f t="shared" si="0"/>
        <v>18.100000000000001</v>
      </c>
      <c r="H40" s="6">
        <v>18.100000000000001</v>
      </c>
      <c r="I40" s="6">
        <v>0</v>
      </c>
      <c r="J40" s="6">
        <f t="shared" si="1"/>
        <v>18.100000000000001</v>
      </c>
      <c r="K40" s="6">
        <v>18.100000000000001</v>
      </c>
      <c r="L40" s="6">
        <v>0</v>
      </c>
      <c r="M40" s="6">
        <f t="shared" si="2"/>
        <v>18.100000000000001</v>
      </c>
      <c r="N40" s="6">
        <v>18.100000000000001</v>
      </c>
      <c r="O40" s="6">
        <v>0</v>
      </c>
      <c r="P40" s="6">
        <f t="shared" si="3"/>
        <v>18.100000000000001</v>
      </c>
      <c r="Q40" s="6">
        <f>18.1</f>
        <v>18.100000000000001</v>
      </c>
      <c r="R40" s="6">
        <v>0</v>
      </c>
      <c r="S40" s="6">
        <f t="shared" si="4"/>
        <v>1.6454545454545455</v>
      </c>
    </row>
    <row r="41" spans="1:20" s="8" customFormat="1" ht="21.75" customHeight="1">
      <c r="A41" s="7">
        <f t="shared" si="5"/>
        <v>35</v>
      </c>
      <c r="B41" s="7" t="s">
        <v>16</v>
      </c>
      <c r="C41" s="7" t="s">
        <v>26</v>
      </c>
      <c r="D41" s="7">
        <v>3</v>
      </c>
      <c r="E41" s="7"/>
      <c r="F41" s="72">
        <v>8</v>
      </c>
      <c r="G41" s="6">
        <f t="shared" si="0"/>
        <v>36.47</v>
      </c>
      <c r="H41" s="6">
        <f>4.4+30.63</f>
        <v>35.03</v>
      </c>
      <c r="I41" s="6">
        <f>0.7+0.74</f>
        <v>1.44</v>
      </c>
      <c r="J41" s="6">
        <f t="shared" si="1"/>
        <v>17.739999999999998</v>
      </c>
      <c r="K41" s="6">
        <f>4.4+12.32</f>
        <v>16.72</v>
      </c>
      <c r="L41" s="6">
        <f>0.7+0.32</f>
        <v>1.02</v>
      </c>
      <c r="M41" s="6">
        <f t="shared" si="2"/>
        <v>17.739999999999998</v>
      </c>
      <c r="N41" s="6">
        <f>4.4+12.32</f>
        <v>16.72</v>
      </c>
      <c r="O41" s="6">
        <f>0.7+0.32</f>
        <v>1.02</v>
      </c>
      <c r="P41" s="6">
        <f t="shared" si="3"/>
        <v>17.739999999999998</v>
      </c>
      <c r="Q41" s="6">
        <f>4.4+12.32</f>
        <v>16.72</v>
      </c>
      <c r="R41" s="6">
        <f>0.7+0.32</f>
        <v>1.02</v>
      </c>
      <c r="S41" s="6">
        <f t="shared" si="4"/>
        <v>2.2174999999999998</v>
      </c>
    </row>
    <row r="42" spans="1:20" s="8" customFormat="1" ht="21" customHeight="1">
      <c r="A42" s="7">
        <f t="shared" si="5"/>
        <v>36</v>
      </c>
      <c r="B42" s="7" t="s">
        <v>16</v>
      </c>
      <c r="C42" s="138" t="s">
        <v>30</v>
      </c>
      <c r="D42" s="138">
        <v>6</v>
      </c>
      <c r="E42" s="138"/>
      <c r="F42" s="71">
        <v>4</v>
      </c>
      <c r="G42" s="5">
        <f t="shared" si="0"/>
        <v>54.42</v>
      </c>
      <c r="H42" s="6">
        <f>40.6+13.37</f>
        <v>53.97</v>
      </c>
      <c r="I42" s="6">
        <f>0.3+0.15</f>
        <v>0.44999999999999996</v>
      </c>
      <c r="J42" s="6">
        <f t="shared" si="1"/>
        <v>51.76</v>
      </c>
      <c r="K42" s="6">
        <f>40.6+10.72</f>
        <v>51.32</v>
      </c>
      <c r="L42" s="6">
        <f>0.3+0.14</f>
        <v>0.44</v>
      </c>
      <c r="M42" s="6">
        <f t="shared" si="2"/>
        <v>11.16</v>
      </c>
      <c r="N42" s="6">
        <v>10.72</v>
      </c>
      <c r="O42" s="6">
        <f>0.3+0.14</f>
        <v>0.44</v>
      </c>
      <c r="P42" s="6">
        <f t="shared" si="3"/>
        <v>11.16</v>
      </c>
      <c r="Q42" s="6">
        <v>10.72</v>
      </c>
      <c r="R42" s="6">
        <v>0.44</v>
      </c>
      <c r="S42" s="6">
        <f t="shared" si="4"/>
        <v>2.79</v>
      </c>
    </row>
    <row r="43" spans="1:20">
      <c r="A43" s="7">
        <f t="shared" si="5"/>
        <v>37</v>
      </c>
      <c r="B43" s="2" t="s">
        <v>16</v>
      </c>
      <c r="C43" s="138" t="s">
        <v>35</v>
      </c>
      <c r="D43" s="138">
        <v>18</v>
      </c>
      <c r="E43" s="138"/>
      <c r="F43" s="114"/>
      <c r="G43" s="5">
        <f t="shared" si="0"/>
        <v>64.599999999999994</v>
      </c>
      <c r="H43" s="6">
        <v>10.1</v>
      </c>
      <c r="I43" s="6">
        <v>54.5</v>
      </c>
      <c r="J43" s="6">
        <f t="shared" si="1"/>
        <v>12.9</v>
      </c>
      <c r="K43" s="6">
        <v>2.1</v>
      </c>
      <c r="L43" s="6">
        <v>10.8</v>
      </c>
      <c r="M43" s="6">
        <f t="shared" si="2"/>
        <v>6.6999999999999993</v>
      </c>
      <c r="N43" s="6">
        <v>2.1</v>
      </c>
      <c r="O43" s="6">
        <v>4.5999999999999996</v>
      </c>
      <c r="P43" s="6">
        <f t="shared" si="3"/>
        <v>6.6999999999999993</v>
      </c>
      <c r="Q43" s="6">
        <f>2.1</f>
        <v>2.1</v>
      </c>
      <c r="R43" s="6">
        <v>4.5999999999999996</v>
      </c>
      <c r="S43" s="6"/>
    </row>
    <row r="44" spans="1:20">
      <c r="A44" s="7">
        <f t="shared" si="5"/>
        <v>38</v>
      </c>
      <c r="B44" s="2" t="s">
        <v>16</v>
      </c>
      <c r="C44" s="2" t="s">
        <v>33</v>
      </c>
      <c r="D44" s="2">
        <v>55</v>
      </c>
      <c r="E44" s="2" t="s">
        <v>20</v>
      </c>
      <c r="F44" s="71">
        <v>12</v>
      </c>
      <c r="G44" s="5">
        <f t="shared" si="0"/>
        <v>5.4</v>
      </c>
      <c r="H44" s="6">
        <v>5.4</v>
      </c>
      <c r="I44" s="6">
        <v>0</v>
      </c>
      <c r="J44" s="6">
        <f t="shared" si="1"/>
        <v>5.4</v>
      </c>
      <c r="K44" s="6">
        <v>5.4</v>
      </c>
      <c r="L44" s="6">
        <v>0</v>
      </c>
      <c r="M44" s="6">
        <f t="shared" si="2"/>
        <v>5.4</v>
      </c>
      <c r="N44" s="6">
        <v>5.4</v>
      </c>
      <c r="O44" s="6">
        <v>0</v>
      </c>
      <c r="P44" s="6">
        <f t="shared" si="3"/>
        <v>5.4</v>
      </c>
      <c r="Q44" s="6">
        <f>5.4</f>
        <v>5.4</v>
      </c>
      <c r="R44" s="6">
        <v>0</v>
      </c>
      <c r="S44" s="6">
        <f>P44/F44</f>
        <v>0.45</v>
      </c>
    </row>
    <row r="45" spans="1:20">
      <c r="A45" s="7">
        <f t="shared" si="5"/>
        <v>39</v>
      </c>
      <c r="B45" s="2" t="s">
        <v>16</v>
      </c>
      <c r="C45" s="2" t="s">
        <v>37</v>
      </c>
      <c r="D45" s="2">
        <v>37</v>
      </c>
      <c r="E45" s="2"/>
      <c r="F45" s="114"/>
      <c r="G45" s="5">
        <f t="shared" si="0"/>
        <v>55.800000000000004</v>
      </c>
      <c r="H45" s="6">
        <v>7.1</v>
      </c>
      <c r="I45" s="6">
        <v>48.7</v>
      </c>
      <c r="J45" s="6">
        <f t="shared" si="1"/>
        <v>2.6</v>
      </c>
      <c r="K45" s="6">
        <v>0.4</v>
      </c>
      <c r="L45" s="6">
        <v>2.2000000000000002</v>
      </c>
      <c r="M45" s="6">
        <f t="shared" si="2"/>
        <v>2.6</v>
      </c>
      <c r="N45" s="6">
        <v>0.4</v>
      </c>
      <c r="O45" s="6">
        <v>2.2000000000000002</v>
      </c>
      <c r="P45" s="6">
        <f t="shared" si="3"/>
        <v>2.6</v>
      </c>
      <c r="Q45" s="6">
        <v>0.4</v>
      </c>
      <c r="R45" s="6">
        <f>2.2</f>
        <v>2.2000000000000002</v>
      </c>
      <c r="S45" s="6"/>
    </row>
    <row r="46" spans="1:20">
      <c r="A46" s="7">
        <f t="shared" si="5"/>
        <v>40</v>
      </c>
      <c r="B46" s="2" t="s">
        <v>16</v>
      </c>
      <c r="C46" s="138" t="s">
        <v>40</v>
      </c>
      <c r="D46" s="138">
        <v>7</v>
      </c>
      <c r="E46" s="138"/>
      <c r="F46" s="71">
        <v>8</v>
      </c>
      <c r="G46" s="5">
        <f t="shared" si="0"/>
        <v>6.3</v>
      </c>
      <c r="H46" s="6">
        <v>6.3</v>
      </c>
      <c r="I46" s="6">
        <v>0</v>
      </c>
      <c r="J46" s="6">
        <f t="shared" si="1"/>
        <v>0</v>
      </c>
      <c r="K46" s="6">
        <v>0</v>
      </c>
      <c r="L46" s="6">
        <v>0</v>
      </c>
      <c r="M46" s="6">
        <f t="shared" si="2"/>
        <v>0</v>
      </c>
      <c r="N46" s="6">
        <v>0</v>
      </c>
      <c r="O46" s="6">
        <v>0</v>
      </c>
      <c r="P46" s="6">
        <f t="shared" si="3"/>
        <v>0</v>
      </c>
      <c r="Q46" s="6">
        <v>0</v>
      </c>
      <c r="R46" s="6">
        <v>0</v>
      </c>
      <c r="S46" s="6">
        <f>P46/F46</f>
        <v>0</v>
      </c>
    </row>
    <row r="47" spans="1:20">
      <c r="A47" s="7">
        <f t="shared" si="5"/>
        <v>41</v>
      </c>
      <c r="B47" s="2" t="s">
        <v>16</v>
      </c>
      <c r="C47" s="138" t="s">
        <v>33</v>
      </c>
      <c r="D47" s="138">
        <v>28</v>
      </c>
      <c r="E47" s="138"/>
      <c r="F47" s="71">
        <v>12</v>
      </c>
      <c r="G47" s="5">
        <f t="shared" si="0"/>
        <v>2.1</v>
      </c>
      <c r="H47" s="6">
        <v>2.1</v>
      </c>
      <c r="I47" s="6">
        <v>0</v>
      </c>
      <c r="J47" s="6">
        <f t="shared" si="1"/>
        <v>0</v>
      </c>
      <c r="K47" s="6">
        <v>0</v>
      </c>
      <c r="L47" s="6">
        <v>0</v>
      </c>
      <c r="M47" s="6">
        <f t="shared" si="2"/>
        <v>0</v>
      </c>
      <c r="N47" s="6">
        <v>0</v>
      </c>
      <c r="O47" s="6">
        <v>0</v>
      </c>
      <c r="P47" s="6">
        <f t="shared" si="3"/>
        <v>0</v>
      </c>
      <c r="Q47" s="6">
        <v>0</v>
      </c>
      <c r="R47" s="6">
        <v>0</v>
      </c>
      <c r="S47" s="6">
        <f>P47/F47</f>
        <v>0</v>
      </c>
    </row>
    <row r="48" spans="1:20" s="99" customFormat="1">
      <c r="A48" s="97"/>
      <c r="B48" s="98" t="s">
        <v>8</v>
      </c>
      <c r="C48" s="98"/>
      <c r="D48" s="98"/>
      <c r="E48" s="98"/>
      <c r="F48" s="104">
        <f>SUM(F7:F47)</f>
        <v>1514</v>
      </c>
      <c r="G48" s="103">
        <f t="shared" ref="G48:R48" si="6">SUM(G7:G47)</f>
        <v>28741.999999999996</v>
      </c>
      <c r="H48" s="103">
        <f t="shared" si="6"/>
        <v>13475.5</v>
      </c>
      <c r="I48" s="103">
        <f t="shared" si="6"/>
        <v>15266.500000000004</v>
      </c>
      <c r="J48" s="103">
        <f t="shared" si="6"/>
        <v>25560.199999999993</v>
      </c>
      <c r="K48" s="103">
        <f t="shared" si="6"/>
        <v>11116.199999999997</v>
      </c>
      <c r="L48" s="103">
        <f t="shared" si="6"/>
        <v>14444.000000000002</v>
      </c>
      <c r="M48" s="103">
        <f t="shared" si="6"/>
        <v>24944.499999999996</v>
      </c>
      <c r="N48" s="103">
        <f t="shared" si="6"/>
        <v>11664.399999999996</v>
      </c>
      <c r="O48" s="103">
        <f t="shared" si="6"/>
        <v>13280.100000000004</v>
      </c>
      <c r="P48" s="103">
        <f t="shared" si="6"/>
        <v>24711.3</v>
      </c>
      <c r="Q48" s="103">
        <f t="shared" si="6"/>
        <v>11587.399999999996</v>
      </c>
      <c r="R48" s="103">
        <f t="shared" si="6"/>
        <v>13123.900000000003</v>
      </c>
      <c r="S48" s="6"/>
      <c r="T48" s="99">
        <f>P48/A47</f>
        <v>602.7146341463415</v>
      </c>
    </row>
    <row r="50" spans="2:20">
      <c r="B50" s="156" t="s">
        <v>112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35"/>
    </row>
    <row r="51" spans="2:20" ht="29.25" customHeight="1">
      <c r="B51" s="225" t="s">
        <v>113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</row>
    <row r="52" spans="2:20">
      <c r="R52" s="14"/>
      <c r="S52" s="14"/>
    </row>
  </sheetData>
  <sortState ref="C7:S47">
    <sortCondition descending="1" ref="P7:P47"/>
  </sortState>
  <mergeCells count="23">
    <mergeCell ref="A4:A6"/>
    <mergeCell ref="C4:E4"/>
    <mergeCell ref="G5:G6"/>
    <mergeCell ref="B4:B6"/>
    <mergeCell ref="M4:O4"/>
    <mergeCell ref="M5:M6"/>
    <mergeCell ref="F4:F6"/>
    <mergeCell ref="C2:S2"/>
    <mergeCell ref="C1:S1"/>
    <mergeCell ref="B51:T51"/>
    <mergeCell ref="P4:R4"/>
    <mergeCell ref="P5:P6"/>
    <mergeCell ref="Q5:R5"/>
    <mergeCell ref="G4:I4"/>
    <mergeCell ref="J4:L4"/>
    <mergeCell ref="J5:J6"/>
    <mergeCell ref="C5:C6"/>
    <mergeCell ref="D5:D6"/>
    <mergeCell ref="E5:E6"/>
    <mergeCell ref="H5:I5"/>
    <mergeCell ref="K5:L5"/>
    <mergeCell ref="N5:O5"/>
    <mergeCell ref="S4:S6"/>
  </mergeCells>
  <pageMargins left="0.15748031496062992" right="0.1574803149606299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workbookViewId="0">
      <pane xSplit="5" ySplit="6" topLeftCell="F10" activePane="bottomRight" state="frozen"/>
      <selection pane="topRight" activeCell="F1" sqref="F1"/>
      <selection pane="bottomLeft" activeCell="A6" sqref="A6"/>
      <selection pane="bottomRight" activeCell="F34" sqref="F34"/>
    </sheetView>
  </sheetViews>
  <sheetFormatPr defaultRowHeight="15" outlineLevelCol="1"/>
  <cols>
    <col min="1" max="1" width="5" customWidth="1"/>
    <col min="2" max="2" width="21.140625" customWidth="1"/>
    <col min="3" max="3" width="17.140625" customWidth="1"/>
    <col min="8" max="8" width="11" customWidth="1"/>
    <col min="9" max="9" width="13.7109375" customWidth="1"/>
    <col min="10" max="10" width="0" hidden="1" customWidth="1" outlineLevel="1"/>
    <col min="11" max="11" width="10" hidden="1" customWidth="1" outlineLevel="1"/>
    <col min="12" max="12" width="11.85546875" hidden="1" customWidth="1" outlineLevel="1"/>
    <col min="13" max="13" width="0" hidden="1" customWidth="1" outlineLevel="1"/>
    <col min="14" max="14" width="10.42578125" hidden="1" customWidth="1" outlineLevel="1"/>
    <col min="15" max="15" width="12.85546875" hidden="1" customWidth="1" outlineLevel="1"/>
    <col min="16" max="16" width="9.140625" collapsed="1"/>
    <col min="17" max="17" width="10.42578125" customWidth="1"/>
    <col min="18" max="19" width="12.85546875" customWidth="1"/>
  </cols>
  <sheetData>
    <row r="1" spans="1:19">
      <c r="C1" s="224" t="s">
        <v>13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30.75" customHeight="1">
      <c r="C2" s="223" t="s">
        <v>109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>
      <c r="O3" s="3"/>
      <c r="R3" s="3"/>
      <c r="S3" s="3" t="s">
        <v>9</v>
      </c>
    </row>
    <row r="4" spans="1:19" ht="29.25" customHeight="1">
      <c r="A4" s="231" t="s">
        <v>0</v>
      </c>
      <c r="B4" s="231" t="s">
        <v>15</v>
      </c>
      <c r="C4" s="231" t="s">
        <v>1</v>
      </c>
      <c r="D4" s="231"/>
      <c r="E4" s="231"/>
      <c r="F4" s="236" t="s">
        <v>82</v>
      </c>
      <c r="G4" s="230" t="s">
        <v>10</v>
      </c>
      <c r="H4" s="230"/>
      <c r="I4" s="230"/>
      <c r="J4" s="230" t="s">
        <v>11</v>
      </c>
      <c r="K4" s="230"/>
      <c r="L4" s="230"/>
      <c r="M4" s="230" t="s">
        <v>12</v>
      </c>
      <c r="N4" s="230"/>
      <c r="O4" s="230"/>
      <c r="P4" s="226" t="s">
        <v>41</v>
      </c>
      <c r="Q4" s="226"/>
      <c r="R4" s="226"/>
      <c r="S4" s="232" t="s">
        <v>111</v>
      </c>
    </row>
    <row r="5" spans="1:19" ht="13.5" customHeight="1">
      <c r="A5" s="231"/>
      <c r="B5" s="231"/>
      <c r="C5" s="231" t="s">
        <v>2</v>
      </c>
      <c r="D5" s="231" t="s">
        <v>3</v>
      </c>
      <c r="E5" s="231" t="s">
        <v>4</v>
      </c>
      <c r="F5" s="237"/>
      <c r="G5" s="227" t="s">
        <v>5</v>
      </c>
      <c r="H5" s="228" t="s">
        <v>14</v>
      </c>
      <c r="I5" s="229"/>
      <c r="J5" s="227" t="s">
        <v>5</v>
      </c>
      <c r="K5" s="228" t="s">
        <v>14</v>
      </c>
      <c r="L5" s="229"/>
      <c r="M5" s="227" t="s">
        <v>5</v>
      </c>
      <c r="N5" s="228" t="s">
        <v>14</v>
      </c>
      <c r="O5" s="229"/>
      <c r="P5" s="227" t="s">
        <v>5</v>
      </c>
      <c r="Q5" s="228" t="s">
        <v>14</v>
      </c>
      <c r="R5" s="229"/>
      <c r="S5" s="233"/>
    </row>
    <row r="6" spans="1:19" ht="38.25">
      <c r="A6" s="231"/>
      <c r="B6" s="231"/>
      <c r="C6" s="231"/>
      <c r="D6" s="231"/>
      <c r="E6" s="231"/>
      <c r="F6" s="238"/>
      <c r="G6" s="227"/>
      <c r="H6" s="4" t="s">
        <v>6</v>
      </c>
      <c r="I6" s="4" t="s">
        <v>7</v>
      </c>
      <c r="J6" s="227"/>
      <c r="K6" s="4" t="s">
        <v>6</v>
      </c>
      <c r="L6" s="4" t="s">
        <v>7</v>
      </c>
      <c r="M6" s="227"/>
      <c r="N6" s="4" t="s">
        <v>6</v>
      </c>
      <c r="O6" s="4" t="s">
        <v>7</v>
      </c>
      <c r="P6" s="227"/>
      <c r="Q6" s="4" t="s">
        <v>6</v>
      </c>
      <c r="R6" s="4" t="s">
        <v>7</v>
      </c>
      <c r="S6" s="234"/>
    </row>
    <row r="7" spans="1:19">
      <c r="A7" s="2">
        <v>1</v>
      </c>
      <c r="B7" s="2" t="s">
        <v>43</v>
      </c>
      <c r="C7" s="180" t="s">
        <v>45</v>
      </c>
      <c r="D7" s="180">
        <v>12</v>
      </c>
      <c r="E7" s="180"/>
      <c r="F7" s="180">
        <v>96</v>
      </c>
      <c r="G7" s="6">
        <f t="shared" ref="G7:G32" si="0">H7+I7</f>
        <v>3892.29</v>
      </c>
      <c r="H7" s="6">
        <f>1080.6+536.96</f>
        <v>1617.56</v>
      </c>
      <c r="I7" s="6">
        <f>1477.1+975.78-178.15</f>
        <v>2274.73</v>
      </c>
      <c r="J7" s="6">
        <f t="shared" ref="J7:J32" si="1">K7+L7</f>
        <v>4279.6399999999994</v>
      </c>
      <c r="K7" s="6">
        <f>1052.5+625.81</f>
        <v>1678.31</v>
      </c>
      <c r="L7" s="6">
        <f>1332.7+1268.63</f>
        <v>2601.33</v>
      </c>
      <c r="M7" s="6">
        <f t="shared" ref="M7:M32" si="2">N7+O7</f>
        <v>4040.22</v>
      </c>
      <c r="N7" s="6">
        <f>446+1220.85</f>
        <v>1666.85</v>
      </c>
      <c r="O7" s="6">
        <f>1327.8+1045.57</f>
        <v>2373.37</v>
      </c>
      <c r="P7" s="182">
        <f t="shared" ref="P7:P32" si="3">Q7+R7</f>
        <v>3944.2999999999997</v>
      </c>
      <c r="Q7" s="182">
        <f>1280.23+442.6</f>
        <v>1722.83</v>
      </c>
      <c r="R7" s="182">
        <f>989.88+1294.6-63.01</f>
        <v>2221.4699999999998</v>
      </c>
      <c r="S7" s="182">
        <f t="shared" ref="S7:S32" si="4">P7/F7</f>
        <v>41.086458333333333</v>
      </c>
    </row>
    <row r="8" spans="1:19">
      <c r="A8" s="2">
        <v>2</v>
      </c>
      <c r="B8" s="2" t="s">
        <v>43</v>
      </c>
      <c r="C8" s="2" t="s">
        <v>48</v>
      </c>
      <c r="D8" s="2">
        <v>1</v>
      </c>
      <c r="E8" s="2"/>
      <c r="F8" s="2">
        <v>120</v>
      </c>
      <c r="G8" s="6">
        <f t="shared" si="0"/>
        <v>1342.79</v>
      </c>
      <c r="H8" s="6">
        <f>600.03+168.83</f>
        <v>768.86</v>
      </c>
      <c r="I8" s="6">
        <v>573.92999999999995</v>
      </c>
      <c r="J8" s="6">
        <f t="shared" si="1"/>
        <v>1367.36</v>
      </c>
      <c r="K8" s="6">
        <v>692.56</v>
      </c>
      <c r="L8" s="6">
        <v>674.8</v>
      </c>
      <c r="M8" s="6">
        <f t="shared" si="2"/>
        <v>1274.31</v>
      </c>
      <c r="N8" s="6">
        <v>752.86</v>
      </c>
      <c r="O8" s="6">
        <f>646.74-125.29</f>
        <v>521.45000000000005</v>
      </c>
      <c r="P8" s="6">
        <f t="shared" si="3"/>
        <v>1264.8699999999999</v>
      </c>
      <c r="Q8" s="6">
        <v>761.02</v>
      </c>
      <c r="R8" s="6">
        <v>503.85</v>
      </c>
      <c r="S8" s="6">
        <f t="shared" si="4"/>
        <v>10.540583333333332</v>
      </c>
    </row>
    <row r="9" spans="1:19">
      <c r="A9" s="2">
        <v>3</v>
      </c>
      <c r="B9" s="2" t="s">
        <v>43</v>
      </c>
      <c r="C9" s="2" t="s">
        <v>47</v>
      </c>
      <c r="D9" s="2">
        <v>17</v>
      </c>
      <c r="E9" s="2" t="s">
        <v>21</v>
      </c>
      <c r="F9" s="2">
        <v>40</v>
      </c>
      <c r="G9" s="6">
        <f t="shared" si="0"/>
        <v>800.23</v>
      </c>
      <c r="H9" s="6">
        <f>213.6+249.5</f>
        <v>463.1</v>
      </c>
      <c r="I9" s="6">
        <f>96.3+240.83</f>
        <v>337.13</v>
      </c>
      <c r="J9" s="6">
        <f t="shared" si="1"/>
        <v>763.6</v>
      </c>
      <c r="K9" s="6">
        <f>110.7+280.26+17.55</f>
        <v>408.51</v>
      </c>
      <c r="L9" s="6">
        <f>94.9+260.19</f>
        <v>355.09000000000003</v>
      </c>
      <c r="M9" s="6">
        <f t="shared" si="2"/>
        <v>709.74</v>
      </c>
      <c r="N9" s="6">
        <f>109.6+299.4</f>
        <v>409</v>
      </c>
      <c r="O9" s="6">
        <f>94.9+205.84</f>
        <v>300.74</v>
      </c>
      <c r="P9" s="6">
        <f t="shared" si="3"/>
        <v>746.23</v>
      </c>
      <c r="Q9" s="6">
        <f>330.66+71.4+50</f>
        <v>452.06000000000006</v>
      </c>
      <c r="R9" s="6">
        <f>212.97+81.2</f>
        <v>294.17</v>
      </c>
      <c r="S9" s="6">
        <f t="shared" si="4"/>
        <v>18.655750000000001</v>
      </c>
    </row>
    <row r="10" spans="1:19">
      <c r="A10" s="2">
        <v>4</v>
      </c>
      <c r="B10" s="2" t="s">
        <v>43</v>
      </c>
      <c r="C10" s="2" t="s">
        <v>45</v>
      </c>
      <c r="D10" s="2">
        <v>33</v>
      </c>
      <c r="E10" s="2"/>
      <c r="F10" s="2">
        <v>60</v>
      </c>
      <c r="G10" s="6">
        <f t="shared" si="0"/>
        <v>719.35</v>
      </c>
      <c r="H10" s="6">
        <f>123.7+215.18</f>
        <v>338.88</v>
      </c>
      <c r="I10" s="6">
        <f>56.6+323.87</f>
        <v>380.47</v>
      </c>
      <c r="J10" s="6">
        <f t="shared" si="1"/>
        <v>663.06</v>
      </c>
      <c r="K10" s="6">
        <f>2.9+321.43</f>
        <v>324.33</v>
      </c>
      <c r="L10" s="6">
        <f>17.3+273.62+47.81</f>
        <v>338.73</v>
      </c>
      <c r="M10" s="6">
        <f t="shared" si="2"/>
        <v>568.65</v>
      </c>
      <c r="N10" s="6">
        <f>2.9+286.39+50</f>
        <v>339.28999999999996</v>
      </c>
      <c r="O10" s="6">
        <f>17.3+212.06</f>
        <v>229.36</v>
      </c>
      <c r="P10" s="6">
        <f t="shared" si="3"/>
        <v>596.39</v>
      </c>
      <c r="Q10" s="6">
        <f>344.89+2.9</f>
        <v>347.78999999999996</v>
      </c>
      <c r="R10" s="6">
        <f>231.4+17.2</f>
        <v>248.6</v>
      </c>
      <c r="S10" s="6">
        <f t="shared" si="4"/>
        <v>9.9398333333333326</v>
      </c>
    </row>
    <row r="11" spans="1:19">
      <c r="A11" s="2">
        <v>5</v>
      </c>
      <c r="B11" s="2" t="s">
        <v>43</v>
      </c>
      <c r="C11" s="2" t="s">
        <v>46</v>
      </c>
      <c r="D11" s="2">
        <v>16</v>
      </c>
      <c r="E11" s="2"/>
      <c r="F11" s="2">
        <v>42</v>
      </c>
      <c r="G11" s="6">
        <f t="shared" si="0"/>
        <v>548.79</v>
      </c>
      <c r="H11" s="6">
        <f>62.4+200.21</f>
        <v>262.61</v>
      </c>
      <c r="I11" s="6">
        <f>65.1+221.08</f>
        <v>286.18</v>
      </c>
      <c r="J11" s="6">
        <f t="shared" si="1"/>
        <v>572.63000000000011</v>
      </c>
      <c r="K11" s="6">
        <f>35.8+246.62</f>
        <v>282.42</v>
      </c>
      <c r="L11" s="6">
        <f>65.1+225.11</f>
        <v>290.21000000000004</v>
      </c>
      <c r="M11" s="6">
        <f t="shared" si="2"/>
        <v>524.24</v>
      </c>
      <c r="N11" s="6">
        <f>8.4+242.38+80.25</f>
        <v>331.03</v>
      </c>
      <c r="O11" s="6">
        <f>32.7+160.51</f>
        <v>193.20999999999998</v>
      </c>
      <c r="P11" s="6">
        <f t="shared" si="3"/>
        <v>568.12</v>
      </c>
      <c r="Q11" s="6">
        <f>358.48</f>
        <v>358.48</v>
      </c>
      <c r="R11" s="6">
        <f>186.44+23.2</f>
        <v>209.64</v>
      </c>
      <c r="S11" s="6">
        <f t="shared" si="4"/>
        <v>13.526666666666667</v>
      </c>
    </row>
    <row r="12" spans="1:19">
      <c r="A12" s="2">
        <v>6</v>
      </c>
      <c r="B12" s="2" t="s">
        <v>43</v>
      </c>
      <c r="C12" s="138" t="s">
        <v>42</v>
      </c>
      <c r="D12" s="138">
        <v>20</v>
      </c>
      <c r="E12" s="2"/>
      <c r="F12" s="2">
        <v>72</v>
      </c>
      <c r="G12" s="6">
        <f t="shared" si="0"/>
        <v>0</v>
      </c>
      <c r="H12" s="6">
        <v>0</v>
      </c>
      <c r="I12" s="6">
        <v>0</v>
      </c>
      <c r="J12" s="6">
        <f t="shared" si="1"/>
        <v>440.78999999999996</v>
      </c>
      <c r="K12" s="6">
        <v>234.09</v>
      </c>
      <c r="L12" s="6">
        <v>206.7</v>
      </c>
      <c r="M12" s="6">
        <f t="shared" si="2"/>
        <v>501.25</v>
      </c>
      <c r="N12" s="6">
        <v>258.64</v>
      </c>
      <c r="O12" s="6">
        <v>242.61</v>
      </c>
      <c r="P12" s="6">
        <f t="shared" si="3"/>
        <v>544.82999999999993</v>
      </c>
      <c r="Q12" s="6">
        <f>257.28+39.6</f>
        <v>296.88</v>
      </c>
      <c r="R12" s="6">
        <v>247.95</v>
      </c>
      <c r="S12" s="6">
        <f t="shared" si="4"/>
        <v>7.5670833333333327</v>
      </c>
    </row>
    <row r="13" spans="1:19">
      <c r="A13" s="2">
        <v>7</v>
      </c>
      <c r="B13" s="2" t="s">
        <v>43</v>
      </c>
      <c r="C13" s="2" t="s">
        <v>46</v>
      </c>
      <c r="D13" s="2">
        <v>34</v>
      </c>
      <c r="E13" s="2"/>
      <c r="F13" s="2">
        <v>84</v>
      </c>
      <c r="G13" s="6">
        <f t="shared" si="0"/>
        <v>0</v>
      </c>
      <c r="H13" s="6">
        <v>0</v>
      </c>
      <c r="I13" s="6">
        <v>0</v>
      </c>
      <c r="J13" s="6">
        <f t="shared" si="1"/>
        <v>0</v>
      </c>
      <c r="K13" s="6">
        <v>0</v>
      </c>
      <c r="L13" s="6">
        <v>0</v>
      </c>
      <c r="M13" s="6">
        <f t="shared" si="2"/>
        <v>0</v>
      </c>
      <c r="N13" s="6">
        <v>0</v>
      </c>
      <c r="O13" s="6">
        <v>0</v>
      </c>
      <c r="P13" s="6">
        <f t="shared" si="3"/>
        <v>476.5</v>
      </c>
      <c r="Q13" s="6">
        <v>259.27</v>
      </c>
      <c r="R13" s="6">
        <v>217.23</v>
      </c>
      <c r="S13" s="6">
        <f t="shared" si="4"/>
        <v>5.6726190476190474</v>
      </c>
    </row>
    <row r="14" spans="1:19">
      <c r="A14" s="2">
        <v>8</v>
      </c>
      <c r="B14" s="2" t="s">
        <v>43</v>
      </c>
      <c r="C14" s="2" t="s">
        <v>49</v>
      </c>
      <c r="D14" s="2">
        <v>11</v>
      </c>
      <c r="E14" s="2"/>
      <c r="F14" s="2">
        <v>60</v>
      </c>
      <c r="G14" s="6">
        <f t="shared" si="0"/>
        <v>0</v>
      </c>
      <c r="H14" s="6">
        <v>0</v>
      </c>
      <c r="I14" s="6">
        <v>0</v>
      </c>
      <c r="J14" s="6">
        <f t="shared" si="1"/>
        <v>361.36</v>
      </c>
      <c r="K14" s="6">
        <v>173.05</v>
      </c>
      <c r="L14" s="6">
        <v>188.31</v>
      </c>
      <c r="M14" s="6">
        <f t="shared" si="2"/>
        <v>325.73</v>
      </c>
      <c r="N14" s="6">
        <v>191.41</v>
      </c>
      <c r="O14" s="6">
        <v>134.32</v>
      </c>
      <c r="P14" s="6">
        <f t="shared" si="3"/>
        <v>324.11</v>
      </c>
      <c r="Q14" s="6">
        <v>198.77</v>
      </c>
      <c r="R14" s="6">
        <v>125.34</v>
      </c>
      <c r="S14" s="6">
        <f t="shared" si="4"/>
        <v>5.4018333333333333</v>
      </c>
    </row>
    <row r="15" spans="1:19">
      <c r="A15" s="2">
        <v>9</v>
      </c>
      <c r="B15" s="2" t="s">
        <v>43</v>
      </c>
      <c r="C15" s="2" t="s">
        <v>44</v>
      </c>
      <c r="D15" s="2">
        <v>44</v>
      </c>
      <c r="E15" s="2"/>
      <c r="F15" s="2">
        <v>31</v>
      </c>
      <c r="G15" s="6">
        <f t="shared" si="0"/>
        <v>280.32</v>
      </c>
      <c r="H15" s="6">
        <f>18.5+103.61</f>
        <v>122.11</v>
      </c>
      <c r="I15" s="6">
        <f>30.8+127.41</f>
        <v>158.21</v>
      </c>
      <c r="J15" s="6">
        <f t="shared" si="1"/>
        <v>293.34000000000003</v>
      </c>
      <c r="K15" s="6">
        <f>18.5+105.95</f>
        <v>124.45</v>
      </c>
      <c r="L15" s="6">
        <f>30.8+138.09</f>
        <v>168.89000000000001</v>
      </c>
      <c r="M15" s="6">
        <f t="shared" si="2"/>
        <v>293.72000000000003</v>
      </c>
      <c r="N15" s="6">
        <f>18.5+115.11</f>
        <v>133.61000000000001</v>
      </c>
      <c r="O15" s="6">
        <f>30.8+129.31</f>
        <v>160.11000000000001</v>
      </c>
      <c r="P15" s="6">
        <f t="shared" si="3"/>
        <v>274.97000000000003</v>
      </c>
      <c r="Q15" s="6">
        <f>112.65+18.5</f>
        <v>131.15</v>
      </c>
      <c r="R15" s="6">
        <f>113.02+30.8</f>
        <v>143.82</v>
      </c>
      <c r="S15" s="6">
        <f t="shared" si="4"/>
        <v>8.870000000000001</v>
      </c>
    </row>
    <row r="16" spans="1:19">
      <c r="A16" s="2">
        <v>10</v>
      </c>
      <c r="B16" s="2" t="s">
        <v>43</v>
      </c>
      <c r="C16" s="2" t="s">
        <v>51</v>
      </c>
      <c r="D16" s="2">
        <v>1</v>
      </c>
      <c r="E16" s="2"/>
      <c r="F16" s="138">
        <v>12</v>
      </c>
      <c r="G16" s="6">
        <f t="shared" si="0"/>
        <v>143.80000000000001</v>
      </c>
      <c r="H16" s="6">
        <f>46.2+25.7</f>
        <v>71.900000000000006</v>
      </c>
      <c r="I16" s="6">
        <v>71.900000000000006</v>
      </c>
      <c r="J16" s="6">
        <f t="shared" si="1"/>
        <v>143.80000000000001</v>
      </c>
      <c r="K16" s="6">
        <f>46.2+25.7</f>
        <v>71.900000000000006</v>
      </c>
      <c r="L16" s="6">
        <v>71.900000000000006</v>
      </c>
      <c r="M16" s="6">
        <f t="shared" si="2"/>
        <v>143.80000000000001</v>
      </c>
      <c r="N16" s="6">
        <f>46.2+25.7</f>
        <v>71.900000000000006</v>
      </c>
      <c r="O16" s="6">
        <v>71.900000000000006</v>
      </c>
      <c r="P16" s="6">
        <f t="shared" si="3"/>
        <v>143.80000000000001</v>
      </c>
      <c r="Q16" s="6">
        <f>46.2+25.7</f>
        <v>71.900000000000006</v>
      </c>
      <c r="R16" s="6">
        <v>71.900000000000006</v>
      </c>
      <c r="S16" s="6">
        <f t="shared" si="4"/>
        <v>11.983333333333334</v>
      </c>
    </row>
    <row r="17" spans="1:19">
      <c r="A17" s="2">
        <v>11</v>
      </c>
      <c r="B17" s="2" t="s">
        <v>43</v>
      </c>
      <c r="C17" s="2" t="s">
        <v>25</v>
      </c>
      <c r="D17" s="2">
        <v>13</v>
      </c>
      <c r="E17" s="2"/>
      <c r="F17" s="2">
        <v>8</v>
      </c>
      <c r="G17" s="6">
        <f t="shared" si="0"/>
        <v>114</v>
      </c>
      <c r="H17" s="6">
        <f>14.5+44.1</f>
        <v>58.6</v>
      </c>
      <c r="I17" s="6">
        <v>55.4</v>
      </c>
      <c r="J17" s="6">
        <f t="shared" si="1"/>
        <v>114</v>
      </c>
      <c r="K17" s="6">
        <f>14.5+44.1</f>
        <v>58.6</v>
      </c>
      <c r="L17" s="6">
        <v>55.4</v>
      </c>
      <c r="M17" s="6">
        <f t="shared" si="2"/>
        <v>114</v>
      </c>
      <c r="N17" s="6">
        <f>14.5+44.1</f>
        <v>58.6</v>
      </c>
      <c r="O17" s="6">
        <v>55.4</v>
      </c>
      <c r="P17" s="6">
        <f t="shared" si="3"/>
        <v>114</v>
      </c>
      <c r="Q17" s="6">
        <f>14.5+44.1</f>
        <v>58.6</v>
      </c>
      <c r="R17" s="6">
        <v>55.4</v>
      </c>
      <c r="S17" s="6">
        <f t="shared" si="4"/>
        <v>14.25</v>
      </c>
    </row>
    <row r="18" spans="1:19">
      <c r="A18" s="2">
        <f>A17+1</f>
        <v>12</v>
      </c>
      <c r="B18" s="2" t="s">
        <v>43</v>
      </c>
      <c r="C18" s="138" t="s">
        <v>50</v>
      </c>
      <c r="D18" s="138">
        <v>29</v>
      </c>
      <c r="E18" s="2"/>
      <c r="F18" s="75">
        <v>73</v>
      </c>
      <c r="G18" s="6">
        <f t="shared" si="0"/>
        <v>0</v>
      </c>
      <c r="H18" s="6">
        <v>0</v>
      </c>
      <c r="I18" s="6">
        <v>0</v>
      </c>
      <c r="J18" s="6">
        <f t="shared" si="1"/>
        <v>0</v>
      </c>
      <c r="K18" s="6">
        <v>0</v>
      </c>
      <c r="L18" s="6">
        <v>0</v>
      </c>
      <c r="M18" s="6">
        <f t="shared" si="2"/>
        <v>0</v>
      </c>
      <c r="N18" s="6">
        <v>0</v>
      </c>
      <c r="O18" s="6">
        <v>0</v>
      </c>
      <c r="P18" s="6">
        <f t="shared" si="3"/>
        <v>102.5</v>
      </c>
      <c r="Q18" s="6">
        <v>63.81</v>
      </c>
      <c r="R18" s="6">
        <v>38.69</v>
      </c>
      <c r="S18" s="6">
        <f t="shared" si="4"/>
        <v>1.404109589041096</v>
      </c>
    </row>
    <row r="19" spans="1:19">
      <c r="A19" s="2">
        <f t="shared" ref="A19:A32" si="5">A18+1</f>
        <v>13</v>
      </c>
      <c r="B19" s="2" t="s">
        <v>43</v>
      </c>
      <c r="C19" s="75" t="s">
        <v>25</v>
      </c>
      <c r="D19" s="75">
        <v>28</v>
      </c>
      <c r="E19" s="2"/>
      <c r="F19" s="2">
        <v>8</v>
      </c>
      <c r="G19" s="6">
        <f t="shared" si="0"/>
        <v>91.54</v>
      </c>
      <c r="H19" s="6">
        <f>67.36+21.6</f>
        <v>88.960000000000008</v>
      </c>
      <c r="I19" s="6">
        <f>2.58</f>
        <v>2.58</v>
      </c>
      <c r="J19" s="6">
        <f t="shared" si="1"/>
        <v>101.29</v>
      </c>
      <c r="K19" s="6">
        <f>77.93+18.7</f>
        <v>96.63000000000001</v>
      </c>
      <c r="L19" s="6">
        <f>4.66</f>
        <v>4.66</v>
      </c>
      <c r="M19" s="6">
        <f t="shared" si="2"/>
        <v>112.59</v>
      </c>
      <c r="N19" s="6">
        <f>89.76+18.7</f>
        <v>108.46000000000001</v>
      </c>
      <c r="O19" s="6">
        <f>4.13</f>
        <v>4.13</v>
      </c>
      <c r="P19" s="6">
        <f t="shared" si="3"/>
        <v>95.71</v>
      </c>
      <c r="Q19" s="6">
        <f>72.88+18.7</f>
        <v>91.58</v>
      </c>
      <c r="R19" s="6">
        <v>4.13</v>
      </c>
      <c r="S19" s="6">
        <f t="shared" si="4"/>
        <v>11.963749999999999</v>
      </c>
    </row>
    <row r="20" spans="1:19" ht="20.25" customHeight="1">
      <c r="A20" s="2">
        <f t="shared" si="5"/>
        <v>14</v>
      </c>
      <c r="B20" s="2" t="s">
        <v>43</v>
      </c>
      <c r="C20" s="2" t="s">
        <v>25</v>
      </c>
      <c r="D20" s="2">
        <v>30</v>
      </c>
      <c r="E20" s="2"/>
      <c r="F20" s="2">
        <v>8</v>
      </c>
      <c r="G20" s="6">
        <f t="shared" si="0"/>
        <v>67.900000000000006</v>
      </c>
      <c r="H20" s="6">
        <f>38.9+29</f>
        <v>67.900000000000006</v>
      </c>
      <c r="I20" s="6">
        <v>0</v>
      </c>
      <c r="J20" s="6">
        <f t="shared" si="1"/>
        <v>67.900000000000006</v>
      </c>
      <c r="K20" s="6">
        <f>38.9+29</f>
        <v>67.900000000000006</v>
      </c>
      <c r="L20" s="6">
        <v>0</v>
      </c>
      <c r="M20" s="6">
        <f t="shared" si="2"/>
        <v>67.900000000000006</v>
      </c>
      <c r="N20" s="6">
        <f>38.9+29</f>
        <v>67.900000000000006</v>
      </c>
      <c r="O20" s="6">
        <v>0</v>
      </c>
      <c r="P20" s="6">
        <f t="shared" si="3"/>
        <v>67.900000000000006</v>
      </c>
      <c r="Q20" s="6">
        <f>38.9+29</f>
        <v>67.900000000000006</v>
      </c>
      <c r="R20" s="6"/>
      <c r="S20" s="6">
        <f t="shared" si="4"/>
        <v>8.4875000000000007</v>
      </c>
    </row>
    <row r="21" spans="1:19" ht="21.75" customHeight="1">
      <c r="A21" s="2">
        <f t="shared" si="5"/>
        <v>15</v>
      </c>
      <c r="B21" s="2" t="s">
        <v>43</v>
      </c>
      <c r="C21" s="2" t="s">
        <v>25</v>
      </c>
      <c r="D21" s="2">
        <v>11</v>
      </c>
      <c r="E21" s="2"/>
      <c r="F21" s="2">
        <v>27</v>
      </c>
      <c r="G21" s="6">
        <f t="shared" si="0"/>
        <v>67.300000000000011</v>
      </c>
      <c r="H21" s="6">
        <f>43.7</f>
        <v>43.7</v>
      </c>
      <c r="I21" s="6">
        <v>23.6</v>
      </c>
      <c r="J21" s="6">
        <f t="shared" si="1"/>
        <v>67.300000000000011</v>
      </c>
      <c r="K21" s="6">
        <v>43.7</v>
      </c>
      <c r="L21" s="6">
        <v>23.6</v>
      </c>
      <c r="M21" s="6">
        <f t="shared" si="2"/>
        <v>67.300000000000011</v>
      </c>
      <c r="N21" s="6">
        <v>43.7</v>
      </c>
      <c r="O21" s="6">
        <v>23.6</v>
      </c>
      <c r="P21" s="6">
        <f t="shared" si="3"/>
        <v>67.300000000000011</v>
      </c>
      <c r="Q21" s="6">
        <v>43.7</v>
      </c>
      <c r="R21" s="6">
        <v>23.6</v>
      </c>
      <c r="S21" s="6">
        <f t="shared" si="4"/>
        <v>2.4925925925925929</v>
      </c>
    </row>
    <row r="22" spans="1:19" ht="21.75" customHeight="1">
      <c r="A22" s="2">
        <f t="shared" si="5"/>
        <v>16</v>
      </c>
      <c r="B22" s="2" t="s">
        <v>43</v>
      </c>
      <c r="C22" s="2" t="s">
        <v>25</v>
      </c>
      <c r="D22" s="2">
        <v>21</v>
      </c>
      <c r="E22" s="2"/>
      <c r="F22" s="2">
        <v>8</v>
      </c>
      <c r="G22" s="6">
        <f t="shared" si="0"/>
        <v>29.4</v>
      </c>
      <c r="H22" s="6">
        <f>18.7+10.7</f>
        <v>29.4</v>
      </c>
      <c r="I22" s="6">
        <v>0</v>
      </c>
      <c r="J22" s="6">
        <f t="shared" si="1"/>
        <v>29.4</v>
      </c>
      <c r="K22" s="6">
        <f>18.7+10.7</f>
        <v>29.4</v>
      </c>
      <c r="L22" s="6">
        <v>0</v>
      </c>
      <c r="M22" s="6">
        <f t="shared" si="2"/>
        <v>29.4</v>
      </c>
      <c r="N22" s="6">
        <f>18.7+10.7</f>
        <v>29.4</v>
      </c>
      <c r="O22" s="6">
        <v>0</v>
      </c>
      <c r="P22" s="6">
        <f t="shared" si="3"/>
        <v>29.4</v>
      </c>
      <c r="Q22" s="6">
        <f>18.7+10.7</f>
        <v>29.4</v>
      </c>
      <c r="R22" s="6"/>
      <c r="S22" s="6">
        <f t="shared" si="4"/>
        <v>3.6749999999999998</v>
      </c>
    </row>
    <row r="23" spans="1:19" ht="15" customHeight="1">
      <c r="A23" s="2">
        <f t="shared" si="5"/>
        <v>17</v>
      </c>
      <c r="B23" s="2" t="s">
        <v>43</v>
      </c>
      <c r="C23" s="75" t="s">
        <v>25</v>
      </c>
      <c r="D23" s="75">
        <v>23</v>
      </c>
      <c r="E23" s="2"/>
      <c r="F23" s="2">
        <v>8</v>
      </c>
      <c r="G23" s="6">
        <f t="shared" si="0"/>
        <v>58.38</v>
      </c>
      <c r="H23" s="6">
        <f>39.72+13.6</f>
        <v>53.32</v>
      </c>
      <c r="I23" s="6">
        <f>5.06</f>
        <v>5.0599999999999996</v>
      </c>
      <c r="J23" s="6">
        <f t="shared" si="1"/>
        <v>34.479999999999997</v>
      </c>
      <c r="K23" s="6">
        <f>33.15</f>
        <v>33.15</v>
      </c>
      <c r="L23" s="6">
        <v>1.33</v>
      </c>
      <c r="M23" s="6">
        <f t="shared" si="2"/>
        <v>18.509999999999998</v>
      </c>
      <c r="N23" s="6">
        <v>17.18</v>
      </c>
      <c r="O23" s="6">
        <v>1.33</v>
      </c>
      <c r="P23" s="6">
        <f t="shared" si="3"/>
        <v>16.900000000000002</v>
      </c>
      <c r="Q23" s="6">
        <v>16.05</v>
      </c>
      <c r="R23" s="6">
        <v>0.85</v>
      </c>
      <c r="S23" s="6">
        <f t="shared" si="4"/>
        <v>2.1125000000000003</v>
      </c>
    </row>
    <row r="24" spans="1:19">
      <c r="A24" s="2">
        <f t="shared" si="5"/>
        <v>18</v>
      </c>
      <c r="B24" s="2" t="s">
        <v>43</v>
      </c>
      <c r="C24" s="2" t="s">
        <v>25</v>
      </c>
      <c r="D24" s="2">
        <v>24</v>
      </c>
      <c r="E24" s="2"/>
      <c r="F24" s="2">
        <v>8</v>
      </c>
      <c r="G24" s="6">
        <f t="shared" si="0"/>
        <v>19</v>
      </c>
      <c r="H24" s="6">
        <f>12.8+6.2</f>
        <v>19</v>
      </c>
      <c r="I24" s="6">
        <v>0</v>
      </c>
      <c r="J24" s="6">
        <f t="shared" si="1"/>
        <v>16.600000000000001</v>
      </c>
      <c r="K24" s="6">
        <f>12.8+3.8</f>
        <v>16.600000000000001</v>
      </c>
      <c r="L24" s="6">
        <v>0</v>
      </c>
      <c r="M24" s="6">
        <f t="shared" si="2"/>
        <v>16.600000000000001</v>
      </c>
      <c r="N24" s="6">
        <f>12.8+3.8</f>
        <v>16.600000000000001</v>
      </c>
      <c r="O24" s="6">
        <v>0</v>
      </c>
      <c r="P24" s="6">
        <f t="shared" si="3"/>
        <v>16.600000000000001</v>
      </c>
      <c r="Q24" s="6">
        <f>12.8+3.8</f>
        <v>16.600000000000001</v>
      </c>
      <c r="R24" s="6"/>
      <c r="S24" s="6">
        <f t="shared" si="4"/>
        <v>2.0750000000000002</v>
      </c>
    </row>
    <row r="25" spans="1:19">
      <c r="A25" s="2">
        <f>A24+1</f>
        <v>19</v>
      </c>
      <c r="B25" s="2" t="s">
        <v>43</v>
      </c>
      <c r="C25" s="2" t="s">
        <v>25</v>
      </c>
      <c r="D25" s="2">
        <v>9</v>
      </c>
      <c r="E25" s="2" t="s">
        <v>21</v>
      </c>
      <c r="F25" s="2">
        <v>5</v>
      </c>
      <c r="G25" s="6">
        <f t="shared" si="0"/>
        <v>45.71</v>
      </c>
      <c r="H25" s="6">
        <v>17.5</v>
      </c>
      <c r="I25" s="6">
        <v>28.21</v>
      </c>
      <c r="J25" s="6">
        <f t="shared" si="1"/>
        <v>30.85</v>
      </c>
      <c r="K25" s="6">
        <v>11.5</v>
      </c>
      <c r="L25" s="6">
        <v>19.350000000000001</v>
      </c>
      <c r="M25" s="6">
        <f t="shared" si="2"/>
        <v>7.74</v>
      </c>
      <c r="N25" s="6">
        <v>6.57</v>
      </c>
      <c r="O25" s="6">
        <v>1.17</v>
      </c>
      <c r="P25" s="6">
        <f t="shared" si="3"/>
        <v>16.37</v>
      </c>
      <c r="Q25" s="6">
        <v>13.91</v>
      </c>
      <c r="R25" s="6">
        <v>2.46</v>
      </c>
      <c r="S25" s="6">
        <f t="shared" si="4"/>
        <v>3.274</v>
      </c>
    </row>
    <row r="26" spans="1:19">
      <c r="A26" s="2">
        <f t="shared" si="5"/>
        <v>20</v>
      </c>
      <c r="B26" s="2" t="s">
        <v>43</v>
      </c>
      <c r="C26" s="2" t="s">
        <v>25</v>
      </c>
      <c r="D26" s="2">
        <v>19</v>
      </c>
      <c r="E26" s="2"/>
      <c r="F26" s="2">
        <v>8</v>
      </c>
      <c r="G26" s="6">
        <f t="shared" si="0"/>
        <v>15.8</v>
      </c>
      <c r="H26" s="6">
        <f>15+0.8</f>
        <v>15.8</v>
      </c>
      <c r="I26" s="6">
        <v>0</v>
      </c>
      <c r="J26" s="6">
        <f t="shared" si="1"/>
        <v>15.8</v>
      </c>
      <c r="K26" s="6">
        <f>15+0.8</f>
        <v>15.8</v>
      </c>
      <c r="L26" s="6">
        <v>0</v>
      </c>
      <c r="M26" s="6">
        <f t="shared" si="2"/>
        <v>15.8</v>
      </c>
      <c r="N26" s="6">
        <f>15+0.8</f>
        <v>15.8</v>
      </c>
      <c r="O26" s="6">
        <v>0</v>
      </c>
      <c r="P26" s="6">
        <f t="shared" si="3"/>
        <v>15.8</v>
      </c>
      <c r="Q26" s="6">
        <f>15+0.8</f>
        <v>15.8</v>
      </c>
      <c r="R26" s="6"/>
      <c r="S26" s="6">
        <f t="shared" si="4"/>
        <v>1.9750000000000001</v>
      </c>
    </row>
    <row r="27" spans="1:19">
      <c r="A27" s="2">
        <f t="shared" si="5"/>
        <v>21</v>
      </c>
      <c r="B27" s="2" t="s">
        <v>43</v>
      </c>
      <c r="C27" s="2" t="s">
        <v>52</v>
      </c>
      <c r="D27" s="2">
        <v>4</v>
      </c>
      <c r="E27" s="2"/>
      <c r="F27" s="138">
        <v>12</v>
      </c>
      <c r="G27" s="6">
        <f t="shared" si="0"/>
        <v>24</v>
      </c>
      <c r="H27" s="6">
        <v>24</v>
      </c>
      <c r="I27" s="6">
        <v>0</v>
      </c>
      <c r="J27" s="6">
        <f t="shared" si="1"/>
        <v>24</v>
      </c>
      <c r="K27" s="6">
        <v>24</v>
      </c>
      <c r="L27" s="6">
        <v>0</v>
      </c>
      <c r="M27" s="6">
        <f t="shared" si="2"/>
        <v>15.2</v>
      </c>
      <c r="N27" s="6">
        <v>15.2</v>
      </c>
      <c r="O27" s="6">
        <v>0</v>
      </c>
      <c r="P27" s="6">
        <f t="shared" si="3"/>
        <v>15.2</v>
      </c>
      <c r="Q27" s="6">
        <v>15.2</v>
      </c>
      <c r="R27" s="6"/>
      <c r="S27" s="6">
        <f t="shared" si="4"/>
        <v>1.2666666666666666</v>
      </c>
    </row>
    <row r="28" spans="1:19" ht="15" customHeight="1">
      <c r="A28" s="2">
        <f>A27+1</f>
        <v>22</v>
      </c>
      <c r="B28" s="2" t="s">
        <v>43</v>
      </c>
      <c r="C28" s="2" t="s">
        <v>44</v>
      </c>
      <c r="D28" s="2">
        <v>5</v>
      </c>
      <c r="E28" s="2" t="s">
        <v>20</v>
      </c>
      <c r="F28" s="2">
        <v>12</v>
      </c>
      <c r="G28" s="6">
        <f t="shared" si="0"/>
        <v>12.8</v>
      </c>
      <c r="H28" s="6">
        <v>12.8</v>
      </c>
      <c r="I28" s="6">
        <v>0</v>
      </c>
      <c r="J28" s="6">
        <f t="shared" si="1"/>
        <v>12.8</v>
      </c>
      <c r="K28" s="6">
        <v>12.8</v>
      </c>
      <c r="L28" s="6">
        <v>0</v>
      </c>
      <c r="M28" s="6">
        <f t="shared" si="2"/>
        <v>12.8</v>
      </c>
      <c r="N28" s="6">
        <v>12.8</v>
      </c>
      <c r="O28" s="6">
        <v>0</v>
      </c>
      <c r="P28" s="6">
        <f t="shared" si="3"/>
        <v>12.8</v>
      </c>
      <c r="Q28" s="6">
        <v>12.8</v>
      </c>
      <c r="R28" s="6"/>
      <c r="S28" s="6">
        <f t="shared" si="4"/>
        <v>1.0666666666666667</v>
      </c>
    </row>
    <row r="29" spans="1:19">
      <c r="A29" s="2">
        <f t="shared" si="5"/>
        <v>23</v>
      </c>
      <c r="B29" s="2" t="s">
        <v>43</v>
      </c>
      <c r="C29" s="2" t="s">
        <v>25</v>
      </c>
      <c r="D29" s="2">
        <v>26</v>
      </c>
      <c r="E29" s="2"/>
      <c r="F29" s="2">
        <v>8</v>
      </c>
      <c r="G29" s="6">
        <f t="shared" si="0"/>
        <v>12.2</v>
      </c>
      <c r="H29" s="6">
        <f>12.2</f>
        <v>12.2</v>
      </c>
      <c r="I29" s="6">
        <v>0</v>
      </c>
      <c r="J29" s="6">
        <f t="shared" si="1"/>
        <v>12.2</v>
      </c>
      <c r="K29" s="6">
        <f>12.2</f>
        <v>12.2</v>
      </c>
      <c r="L29" s="6">
        <v>0</v>
      </c>
      <c r="M29" s="6">
        <f t="shared" si="2"/>
        <v>12.2</v>
      </c>
      <c r="N29" s="6">
        <f>12.2</f>
        <v>12.2</v>
      </c>
      <c r="O29" s="6">
        <v>0</v>
      </c>
      <c r="P29" s="6">
        <f t="shared" si="3"/>
        <v>12.2</v>
      </c>
      <c r="Q29" s="6">
        <v>12.2</v>
      </c>
      <c r="R29" s="6"/>
      <c r="S29" s="6">
        <f t="shared" si="4"/>
        <v>1.5249999999999999</v>
      </c>
    </row>
    <row r="30" spans="1:19">
      <c r="A30" s="2">
        <f t="shared" si="5"/>
        <v>24</v>
      </c>
      <c r="B30" s="2" t="s">
        <v>43</v>
      </c>
      <c r="C30" s="2" t="s">
        <v>25</v>
      </c>
      <c r="D30" s="2">
        <v>16</v>
      </c>
      <c r="E30" s="2"/>
      <c r="F30" s="2">
        <v>27</v>
      </c>
      <c r="G30" s="6">
        <f t="shared" si="0"/>
        <v>8.5</v>
      </c>
      <c r="H30" s="6">
        <v>5.0999999999999996</v>
      </c>
      <c r="I30" s="6">
        <v>3.4</v>
      </c>
      <c r="J30" s="6">
        <f t="shared" si="1"/>
        <v>8.5</v>
      </c>
      <c r="K30" s="6">
        <v>5.0999999999999996</v>
      </c>
      <c r="L30" s="6">
        <v>3.4</v>
      </c>
      <c r="M30" s="6">
        <f t="shared" si="2"/>
        <v>8.5</v>
      </c>
      <c r="N30" s="6">
        <v>5.0999999999999996</v>
      </c>
      <c r="O30" s="6">
        <v>3.4</v>
      </c>
      <c r="P30" s="6">
        <f t="shared" si="3"/>
        <v>8.5</v>
      </c>
      <c r="Q30" s="6">
        <v>5.0999999999999996</v>
      </c>
      <c r="R30" s="6">
        <v>3.4</v>
      </c>
      <c r="S30" s="6">
        <f t="shared" si="4"/>
        <v>0.31481481481481483</v>
      </c>
    </row>
    <row r="31" spans="1:19">
      <c r="A31" s="2">
        <f t="shared" si="5"/>
        <v>25</v>
      </c>
      <c r="B31" s="2" t="s">
        <v>43</v>
      </c>
      <c r="C31" s="2" t="s">
        <v>25</v>
      </c>
      <c r="D31" s="2">
        <v>25</v>
      </c>
      <c r="E31" s="2"/>
      <c r="F31" s="2">
        <v>8</v>
      </c>
      <c r="G31" s="6">
        <f t="shared" si="0"/>
        <v>0.5</v>
      </c>
      <c r="H31" s="6">
        <f>4.7-4.2</f>
        <v>0.5</v>
      </c>
      <c r="I31" s="6">
        <v>0</v>
      </c>
      <c r="J31" s="6">
        <f t="shared" si="1"/>
        <v>0.5</v>
      </c>
      <c r="K31" s="6">
        <f>4.7-4.2</f>
        <v>0.5</v>
      </c>
      <c r="L31" s="6">
        <v>0</v>
      </c>
      <c r="M31" s="6">
        <f t="shared" si="2"/>
        <v>0.5</v>
      </c>
      <c r="N31" s="6">
        <f>4.7-4.2</f>
        <v>0.5</v>
      </c>
      <c r="O31" s="6">
        <v>0</v>
      </c>
      <c r="P31" s="6">
        <f t="shared" si="3"/>
        <v>0.5</v>
      </c>
      <c r="Q31" s="6">
        <v>0.5</v>
      </c>
      <c r="R31" s="6"/>
      <c r="S31" s="6">
        <f t="shared" si="4"/>
        <v>6.25E-2</v>
      </c>
    </row>
    <row r="32" spans="1:19">
      <c r="A32" s="2">
        <f t="shared" si="5"/>
        <v>26</v>
      </c>
      <c r="B32" s="2" t="s">
        <v>43</v>
      </c>
      <c r="C32" s="2" t="s">
        <v>51</v>
      </c>
      <c r="D32" s="2">
        <v>7</v>
      </c>
      <c r="E32" s="2"/>
      <c r="F32" s="2">
        <v>12</v>
      </c>
      <c r="G32" s="6">
        <f t="shared" si="0"/>
        <v>0.3</v>
      </c>
      <c r="H32" s="6">
        <v>0.3</v>
      </c>
      <c r="I32" s="6">
        <v>0</v>
      </c>
      <c r="J32" s="6">
        <f t="shared" si="1"/>
        <v>0.3</v>
      </c>
      <c r="K32" s="6">
        <v>0.3</v>
      </c>
      <c r="L32" s="6">
        <v>0</v>
      </c>
      <c r="M32" s="6">
        <f t="shared" si="2"/>
        <v>0.3</v>
      </c>
      <c r="N32" s="6">
        <v>0.3</v>
      </c>
      <c r="O32" s="6">
        <v>0</v>
      </c>
      <c r="P32" s="6">
        <f t="shared" si="3"/>
        <v>0.3</v>
      </c>
      <c r="Q32" s="6">
        <v>0.3</v>
      </c>
      <c r="R32" s="6"/>
      <c r="S32" s="6">
        <f t="shared" si="4"/>
        <v>2.4999999999999998E-2</v>
      </c>
    </row>
    <row r="33" spans="1:20" s="99" customFormat="1">
      <c r="A33" s="97"/>
      <c r="B33" s="98" t="s">
        <v>8</v>
      </c>
      <c r="C33" s="98"/>
      <c r="D33" s="98"/>
      <c r="E33" s="98"/>
      <c r="F33" s="98">
        <f>SUM(F7:F32)</f>
        <v>857</v>
      </c>
      <c r="G33" s="103">
        <f t="shared" ref="G33:R33" si="6">SUM(G7:G32)</f>
        <v>8294.8999999999978</v>
      </c>
      <c r="H33" s="103">
        <f t="shared" si="6"/>
        <v>4094.1000000000008</v>
      </c>
      <c r="I33" s="103">
        <f t="shared" si="6"/>
        <v>4200.8</v>
      </c>
      <c r="J33" s="103">
        <f t="shared" si="6"/>
        <v>9421.4999999999982</v>
      </c>
      <c r="K33" s="103">
        <f t="shared" si="6"/>
        <v>4417.8</v>
      </c>
      <c r="L33" s="103">
        <f t="shared" si="6"/>
        <v>5003.7</v>
      </c>
      <c r="M33" s="103">
        <f t="shared" si="6"/>
        <v>8880.9999999999964</v>
      </c>
      <c r="N33" s="103">
        <f t="shared" si="6"/>
        <v>4564.8999999999996</v>
      </c>
      <c r="O33" s="103">
        <f t="shared" si="6"/>
        <v>4316.0999999999995</v>
      </c>
      <c r="P33" s="103">
        <f t="shared" si="6"/>
        <v>9476.0999999999967</v>
      </c>
      <c r="Q33" s="103">
        <f t="shared" si="6"/>
        <v>5063.6000000000004</v>
      </c>
      <c r="R33" s="103">
        <f t="shared" si="6"/>
        <v>4412.4999999999991</v>
      </c>
      <c r="S33" s="103"/>
      <c r="T33" s="99">
        <f>P33/A32</f>
        <v>364.46538461538449</v>
      </c>
    </row>
    <row r="35" spans="1:20">
      <c r="B35" s="174" t="s">
        <v>112</v>
      </c>
      <c r="G35" s="12"/>
      <c r="H35" s="13"/>
      <c r="I35" s="13"/>
      <c r="J35" s="12"/>
      <c r="K35" s="13"/>
      <c r="L35" s="13"/>
      <c r="M35" s="12"/>
      <c r="N35" s="13"/>
      <c r="O35" s="13"/>
      <c r="P35" s="12"/>
      <c r="Q35" s="13"/>
      <c r="R35" s="13"/>
      <c r="S35" s="13"/>
    </row>
    <row r="36" spans="1:20" ht="14.25" customHeight="1">
      <c r="B36" s="225" t="s">
        <v>114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</row>
  </sheetData>
  <sortState ref="C7:S32">
    <sortCondition descending="1" ref="P7:P32"/>
  </sortState>
  <mergeCells count="23">
    <mergeCell ref="A4:A6"/>
    <mergeCell ref="B4:B6"/>
    <mergeCell ref="C4:E4"/>
    <mergeCell ref="G4:I4"/>
    <mergeCell ref="J4:L4"/>
    <mergeCell ref="F4:F6"/>
    <mergeCell ref="C5:C6"/>
    <mergeCell ref="C1:S1"/>
    <mergeCell ref="B36:T36"/>
    <mergeCell ref="K5:L5"/>
    <mergeCell ref="M5:M6"/>
    <mergeCell ref="N5:O5"/>
    <mergeCell ref="S4:S6"/>
    <mergeCell ref="C2:S2"/>
    <mergeCell ref="D5:D6"/>
    <mergeCell ref="E5:E6"/>
    <mergeCell ref="G5:G6"/>
    <mergeCell ref="H5:I5"/>
    <mergeCell ref="J5:J6"/>
    <mergeCell ref="M4:O4"/>
    <mergeCell ref="P5:P6"/>
    <mergeCell ref="Q5:R5"/>
    <mergeCell ref="P4:R4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Normal="100" workbookViewId="0">
      <selection activeCell="F24" sqref="F24"/>
    </sheetView>
  </sheetViews>
  <sheetFormatPr defaultRowHeight="12.75" outlineLevelCol="1"/>
  <cols>
    <col min="1" max="1" width="5.28515625" style="15" customWidth="1"/>
    <col min="2" max="2" width="19.7109375" style="15" customWidth="1"/>
    <col min="3" max="3" width="22.42578125" style="15" customWidth="1"/>
    <col min="4" max="4" width="6.7109375" style="15" customWidth="1"/>
    <col min="5" max="5" width="7.42578125" style="15" customWidth="1"/>
    <col min="6" max="6" width="10.7109375" style="15" customWidth="1"/>
    <col min="7" max="7" width="8.7109375" style="15" customWidth="1"/>
    <col min="8" max="8" width="10" style="15" customWidth="1"/>
    <col min="9" max="9" width="10.5703125" style="15" customWidth="1"/>
    <col min="10" max="10" width="0" style="15" hidden="1" customWidth="1" outlineLevel="1"/>
    <col min="11" max="15" width="10.140625" style="15" hidden="1" customWidth="1" outlineLevel="1"/>
    <col min="16" max="16" width="9.140625" style="15" collapsed="1"/>
    <col min="17" max="17" width="10.28515625" style="15" customWidth="1"/>
    <col min="18" max="18" width="10.5703125" style="15" customWidth="1"/>
    <col min="19" max="19" width="13.140625" style="15" customWidth="1"/>
    <col min="20" max="261" width="9.140625" style="15"/>
    <col min="262" max="262" width="19.7109375" style="15" customWidth="1"/>
    <col min="263" max="263" width="22.42578125" style="15" customWidth="1"/>
    <col min="264" max="265" width="6.7109375" style="15" customWidth="1"/>
    <col min="266" max="266" width="8.7109375" style="15" customWidth="1"/>
    <col min="267" max="267" width="10" style="15" customWidth="1"/>
    <col min="268" max="268" width="10.5703125" style="15" customWidth="1"/>
    <col min="269" max="269" width="9.140625" style="15"/>
    <col min="270" max="271" width="10.140625" style="15" customWidth="1"/>
    <col min="272" max="272" width="9.140625" style="15"/>
    <col min="273" max="273" width="10.28515625" style="15" customWidth="1"/>
    <col min="274" max="274" width="10.5703125" style="15" customWidth="1"/>
    <col min="275" max="517" width="9.140625" style="15"/>
    <col min="518" max="518" width="19.7109375" style="15" customWidth="1"/>
    <col min="519" max="519" width="22.42578125" style="15" customWidth="1"/>
    <col min="520" max="521" width="6.7109375" style="15" customWidth="1"/>
    <col min="522" max="522" width="8.7109375" style="15" customWidth="1"/>
    <col min="523" max="523" width="10" style="15" customWidth="1"/>
    <col min="524" max="524" width="10.5703125" style="15" customWidth="1"/>
    <col min="525" max="525" width="9.140625" style="15"/>
    <col min="526" max="527" width="10.140625" style="15" customWidth="1"/>
    <col min="528" max="528" width="9.140625" style="15"/>
    <col min="529" max="529" width="10.28515625" style="15" customWidth="1"/>
    <col min="530" max="530" width="10.5703125" style="15" customWidth="1"/>
    <col min="531" max="773" width="9.140625" style="15"/>
    <col min="774" max="774" width="19.7109375" style="15" customWidth="1"/>
    <col min="775" max="775" width="22.42578125" style="15" customWidth="1"/>
    <col min="776" max="777" width="6.7109375" style="15" customWidth="1"/>
    <col min="778" max="778" width="8.7109375" style="15" customWidth="1"/>
    <col min="779" max="779" width="10" style="15" customWidth="1"/>
    <col min="780" max="780" width="10.5703125" style="15" customWidth="1"/>
    <col min="781" max="781" width="9.140625" style="15"/>
    <col min="782" max="783" width="10.140625" style="15" customWidth="1"/>
    <col min="784" max="784" width="9.140625" style="15"/>
    <col min="785" max="785" width="10.28515625" style="15" customWidth="1"/>
    <col min="786" max="786" width="10.5703125" style="15" customWidth="1"/>
    <col min="787" max="1029" width="9.140625" style="15"/>
    <col min="1030" max="1030" width="19.7109375" style="15" customWidth="1"/>
    <col min="1031" max="1031" width="22.42578125" style="15" customWidth="1"/>
    <col min="1032" max="1033" width="6.7109375" style="15" customWidth="1"/>
    <col min="1034" max="1034" width="8.7109375" style="15" customWidth="1"/>
    <col min="1035" max="1035" width="10" style="15" customWidth="1"/>
    <col min="1036" max="1036" width="10.5703125" style="15" customWidth="1"/>
    <col min="1037" max="1037" width="9.140625" style="15"/>
    <col min="1038" max="1039" width="10.140625" style="15" customWidth="1"/>
    <col min="1040" max="1040" width="9.140625" style="15"/>
    <col min="1041" max="1041" width="10.28515625" style="15" customWidth="1"/>
    <col min="1042" max="1042" width="10.5703125" style="15" customWidth="1"/>
    <col min="1043" max="1285" width="9.140625" style="15"/>
    <col min="1286" max="1286" width="19.7109375" style="15" customWidth="1"/>
    <col min="1287" max="1287" width="22.42578125" style="15" customWidth="1"/>
    <col min="1288" max="1289" width="6.7109375" style="15" customWidth="1"/>
    <col min="1290" max="1290" width="8.7109375" style="15" customWidth="1"/>
    <col min="1291" max="1291" width="10" style="15" customWidth="1"/>
    <col min="1292" max="1292" width="10.5703125" style="15" customWidth="1"/>
    <col min="1293" max="1293" width="9.140625" style="15"/>
    <col min="1294" max="1295" width="10.140625" style="15" customWidth="1"/>
    <col min="1296" max="1296" width="9.140625" style="15"/>
    <col min="1297" max="1297" width="10.28515625" style="15" customWidth="1"/>
    <col min="1298" max="1298" width="10.5703125" style="15" customWidth="1"/>
    <col min="1299" max="1541" width="9.140625" style="15"/>
    <col min="1542" max="1542" width="19.7109375" style="15" customWidth="1"/>
    <col min="1543" max="1543" width="22.42578125" style="15" customWidth="1"/>
    <col min="1544" max="1545" width="6.7109375" style="15" customWidth="1"/>
    <col min="1546" max="1546" width="8.7109375" style="15" customWidth="1"/>
    <col min="1547" max="1547" width="10" style="15" customWidth="1"/>
    <col min="1548" max="1548" width="10.5703125" style="15" customWidth="1"/>
    <col min="1549" max="1549" width="9.140625" style="15"/>
    <col min="1550" max="1551" width="10.140625" style="15" customWidth="1"/>
    <col min="1552" max="1552" width="9.140625" style="15"/>
    <col min="1553" max="1553" width="10.28515625" style="15" customWidth="1"/>
    <col min="1554" max="1554" width="10.5703125" style="15" customWidth="1"/>
    <col min="1555" max="1797" width="9.140625" style="15"/>
    <col min="1798" max="1798" width="19.7109375" style="15" customWidth="1"/>
    <col min="1799" max="1799" width="22.42578125" style="15" customWidth="1"/>
    <col min="1800" max="1801" width="6.7109375" style="15" customWidth="1"/>
    <col min="1802" max="1802" width="8.7109375" style="15" customWidth="1"/>
    <col min="1803" max="1803" width="10" style="15" customWidth="1"/>
    <col min="1804" max="1804" width="10.5703125" style="15" customWidth="1"/>
    <col min="1805" max="1805" width="9.140625" style="15"/>
    <col min="1806" max="1807" width="10.140625" style="15" customWidth="1"/>
    <col min="1808" max="1808" width="9.140625" style="15"/>
    <col min="1809" max="1809" width="10.28515625" style="15" customWidth="1"/>
    <col min="1810" max="1810" width="10.5703125" style="15" customWidth="1"/>
    <col min="1811" max="2053" width="9.140625" style="15"/>
    <col min="2054" max="2054" width="19.7109375" style="15" customWidth="1"/>
    <col min="2055" max="2055" width="22.42578125" style="15" customWidth="1"/>
    <col min="2056" max="2057" width="6.7109375" style="15" customWidth="1"/>
    <col min="2058" max="2058" width="8.7109375" style="15" customWidth="1"/>
    <col min="2059" max="2059" width="10" style="15" customWidth="1"/>
    <col min="2060" max="2060" width="10.5703125" style="15" customWidth="1"/>
    <col min="2061" max="2061" width="9.140625" style="15"/>
    <col min="2062" max="2063" width="10.140625" style="15" customWidth="1"/>
    <col min="2064" max="2064" width="9.140625" style="15"/>
    <col min="2065" max="2065" width="10.28515625" style="15" customWidth="1"/>
    <col min="2066" max="2066" width="10.5703125" style="15" customWidth="1"/>
    <col min="2067" max="2309" width="9.140625" style="15"/>
    <col min="2310" max="2310" width="19.7109375" style="15" customWidth="1"/>
    <col min="2311" max="2311" width="22.42578125" style="15" customWidth="1"/>
    <col min="2312" max="2313" width="6.7109375" style="15" customWidth="1"/>
    <col min="2314" max="2314" width="8.7109375" style="15" customWidth="1"/>
    <col min="2315" max="2315" width="10" style="15" customWidth="1"/>
    <col min="2316" max="2316" width="10.5703125" style="15" customWidth="1"/>
    <col min="2317" max="2317" width="9.140625" style="15"/>
    <col min="2318" max="2319" width="10.140625" style="15" customWidth="1"/>
    <col min="2320" max="2320" width="9.140625" style="15"/>
    <col min="2321" max="2321" width="10.28515625" style="15" customWidth="1"/>
    <col min="2322" max="2322" width="10.5703125" style="15" customWidth="1"/>
    <col min="2323" max="2565" width="9.140625" style="15"/>
    <col min="2566" max="2566" width="19.7109375" style="15" customWidth="1"/>
    <col min="2567" max="2567" width="22.42578125" style="15" customWidth="1"/>
    <col min="2568" max="2569" width="6.7109375" style="15" customWidth="1"/>
    <col min="2570" max="2570" width="8.7109375" style="15" customWidth="1"/>
    <col min="2571" max="2571" width="10" style="15" customWidth="1"/>
    <col min="2572" max="2572" width="10.5703125" style="15" customWidth="1"/>
    <col min="2573" max="2573" width="9.140625" style="15"/>
    <col min="2574" max="2575" width="10.140625" style="15" customWidth="1"/>
    <col min="2576" max="2576" width="9.140625" style="15"/>
    <col min="2577" max="2577" width="10.28515625" style="15" customWidth="1"/>
    <col min="2578" max="2578" width="10.5703125" style="15" customWidth="1"/>
    <col min="2579" max="2821" width="9.140625" style="15"/>
    <col min="2822" max="2822" width="19.7109375" style="15" customWidth="1"/>
    <col min="2823" max="2823" width="22.42578125" style="15" customWidth="1"/>
    <col min="2824" max="2825" width="6.7109375" style="15" customWidth="1"/>
    <col min="2826" max="2826" width="8.7109375" style="15" customWidth="1"/>
    <col min="2827" max="2827" width="10" style="15" customWidth="1"/>
    <col min="2828" max="2828" width="10.5703125" style="15" customWidth="1"/>
    <col min="2829" max="2829" width="9.140625" style="15"/>
    <col min="2830" max="2831" width="10.140625" style="15" customWidth="1"/>
    <col min="2832" max="2832" width="9.140625" style="15"/>
    <col min="2833" max="2833" width="10.28515625" style="15" customWidth="1"/>
    <col min="2834" max="2834" width="10.5703125" style="15" customWidth="1"/>
    <col min="2835" max="3077" width="9.140625" style="15"/>
    <col min="3078" max="3078" width="19.7109375" style="15" customWidth="1"/>
    <col min="3079" max="3079" width="22.42578125" style="15" customWidth="1"/>
    <col min="3080" max="3081" width="6.7109375" style="15" customWidth="1"/>
    <col min="3082" max="3082" width="8.7109375" style="15" customWidth="1"/>
    <col min="3083" max="3083" width="10" style="15" customWidth="1"/>
    <col min="3084" max="3084" width="10.5703125" style="15" customWidth="1"/>
    <col min="3085" max="3085" width="9.140625" style="15"/>
    <col min="3086" max="3087" width="10.140625" style="15" customWidth="1"/>
    <col min="3088" max="3088" width="9.140625" style="15"/>
    <col min="3089" max="3089" width="10.28515625" style="15" customWidth="1"/>
    <col min="3090" max="3090" width="10.5703125" style="15" customWidth="1"/>
    <col min="3091" max="3333" width="9.140625" style="15"/>
    <col min="3334" max="3334" width="19.7109375" style="15" customWidth="1"/>
    <col min="3335" max="3335" width="22.42578125" style="15" customWidth="1"/>
    <col min="3336" max="3337" width="6.7109375" style="15" customWidth="1"/>
    <col min="3338" max="3338" width="8.7109375" style="15" customWidth="1"/>
    <col min="3339" max="3339" width="10" style="15" customWidth="1"/>
    <col min="3340" max="3340" width="10.5703125" style="15" customWidth="1"/>
    <col min="3341" max="3341" width="9.140625" style="15"/>
    <col min="3342" max="3343" width="10.140625" style="15" customWidth="1"/>
    <col min="3344" max="3344" width="9.140625" style="15"/>
    <col min="3345" max="3345" width="10.28515625" style="15" customWidth="1"/>
    <col min="3346" max="3346" width="10.5703125" style="15" customWidth="1"/>
    <col min="3347" max="3589" width="9.140625" style="15"/>
    <col min="3590" max="3590" width="19.7109375" style="15" customWidth="1"/>
    <col min="3591" max="3591" width="22.42578125" style="15" customWidth="1"/>
    <col min="3592" max="3593" width="6.7109375" style="15" customWidth="1"/>
    <col min="3594" max="3594" width="8.7109375" style="15" customWidth="1"/>
    <col min="3595" max="3595" width="10" style="15" customWidth="1"/>
    <col min="3596" max="3596" width="10.5703125" style="15" customWidth="1"/>
    <col min="3597" max="3597" width="9.140625" style="15"/>
    <col min="3598" max="3599" width="10.140625" style="15" customWidth="1"/>
    <col min="3600" max="3600" width="9.140625" style="15"/>
    <col min="3601" max="3601" width="10.28515625" style="15" customWidth="1"/>
    <col min="3602" max="3602" width="10.5703125" style="15" customWidth="1"/>
    <col min="3603" max="3845" width="9.140625" style="15"/>
    <col min="3846" max="3846" width="19.7109375" style="15" customWidth="1"/>
    <col min="3847" max="3847" width="22.42578125" style="15" customWidth="1"/>
    <col min="3848" max="3849" width="6.7109375" style="15" customWidth="1"/>
    <col min="3850" max="3850" width="8.7109375" style="15" customWidth="1"/>
    <col min="3851" max="3851" width="10" style="15" customWidth="1"/>
    <col min="3852" max="3852" width="10.5703125" style="15" customWidth="1"/>
    <col min="3853" max="3853" width="9.140625" style="15"/>
    <col min="3854" max="3855" width="10.140625" style="15" customWidth="1"/>
    <col min="3856" max="3856" width="9.140625" style="15"/>
    <col min="3857" max="3857" width="10.28515625" style="15" customWidth="1"/>
    <col min="3858" max="3858" width="10.5703125" style="15" customWidth="1"/>
    <col min="3859" max="4101" width="9.140625" style="15"/>
    <col min="4102" max="4102" width="19.7109375" style="15" customWidth="1"/>
    <col min="4103" max="4103" width="22.42578125" style="15" customWidth="1"/>
    <col min="4104" max="4105" width="6.7109375" style="15" customWidth="1"/>
    <col min="4106" max="4106" width="8.7109375" style="15" customWidth="1"/>
    <col min="4107" max="4107" width="10" style="15" customWidth="1"/>
    <col min="4108" max="4108" width="10.5703125" style="15" customWidth="1"/>
    <col min="4109" max="4109" width="9.140625" style="15"/>
    <col min="4110" max="4111" width="10.140625" style="15" customWidth="1"/>
    <col min="4112" max="4112" width="9.140625" style="15"/>
    <col min="4113" max="4113" width="10.28515625" style="15" customWidth="1"/>
    <col min="4114" max="4114" width="10.5703125" style="15" customWidth="1"/>
    <col min="4115" max="4357" width="9.140625" style="15"/>
    <col min="4358" max="4358" width="19.7109375" style="15" customWidth="1"/>
    <col min="4359" max="4359" width="22.42578125" style="15" customWidth="1"/>
    <col min="4360" max="4361" width="6.7109375" style="15" customWidth="1"/>
    <col min="4362" max="4362" width="8.7109375" style="15" customWidth="1"/>
    <col min="4363" max="4363" width="10" style="15" customWidth="1"/>
    <col min="4364" max="4364" width="10.5703125" style="15" customWidth="1"/>
    <col min="4365" max="4365" width="9.140625" style="15"/>
    <col min="4366" max="4367" width="10.140625" style="15" customWidth="1"/>
    <col min="4368" max="4368" width="9.140625" style="15"/>
    <col min="4369" max="4369" width="10.28515625" style="15" customWidth="1"/>
    <col min="4370" max="4370" width="10.5703125" style="15" customWidth="1"/>
    <col min="4371" max="4613" width="9.140625" style="15"/>
    <col min="4614" max="4614" width="19.7109375" style="15" customWidth="1"/>
    <col min="4615" max="4615" width="22.42578125" style="15" customWidth="1"/>
    <col min="4616" max="4617" width="6.7109375" style="15" customWidth="1"/>
    <col min="4618" max="4618" width="8.7109375" style="15" customWidth="1"/>
    <col min="4619" max="4619" width="10" style="15" customWidth="1"/>
    <col min="4620" max="4620" width="10.5703125" style="15" customWidth="1"/>
    <col min="4621" max="4621" width="9.140625" style="15"/>
    <col min="4622" max="4623" width="10.140625" style="15" customWidth="1"/>
    <col min="4624" max="4624" width="9.140625" style="15"/>
    <col min="4625" max="4625" width="10.28515625" style="15" customWidth="1"/>
    <col min="4626" max="4626" width="10.5703125" style="15" customWidth="1"/>
    <col min="4627" max="4869" width="9.140625" style="15"/>
    <col min="4870" max="4870" width="19.7109375" style="15" customWidth="1"/>
    <col min="4871" max="4871" width="22.42578125" style="15" customWidth="1"/>
    <col min="4872" max="4873" width="6.7109375" style="15" customWidth="1"/>
    <col min="4874" max="4874" width="8.7109375" style="15" customWidth="1"/>
    <col min="4875" max="4875" width="10" style="15" customWidth="1"/>
    <col min="4876" max="4876" width="10.5703125" style="15" customWidth="1"/>
    <col min="4877" max="4877" width="9.140625" style="15"/>
    <col min="4878" max="4879" width="10.140625" style="15" customWidth="1"/>
    <col min="4880" max="4880" width="9.140625" style="15"/>
    <col min="4881" max="4881" width="10.28515625" style="15" customWidth="1"/>
    <col min="4882" max="4882" width="10.5703125" style="15" customWidth="1"/>
    <col min="4883" max="5125" width="9.140625" style="15"/>
    <col min="5126" max="5126" width="19.7109375" style="15" customWidth="1"/>
    <col min="5127" max="5127" width="22.42578125" style="15" customWidth="1"/>
    <col min="5128" max="5129" width="6.7109375" style="15" customWidth="1"/>
    <col min="5130" max="5130" width="8.7109375" style="15" customWidth="1"/>
    <col min="5131" max="5131" width="10" style="15" customWidth="1"/>
    <col min="5132" max="5132" width="10.5703125" style="15" customWidth="1"/>
    <col min="5133" max="5133" width="9.140625" style="15"/>
    <col min="5134" max="5135" width="10.140625" style="15" customWidth="1"/>
    <col min="5136" max="5136" width="9.140625" style="15"/>
    <col min="5137" max="5137" width="10.28515625" style="15" customWidth="1"/>
    <col min="5138" max="5138" width="10.5703125" style="15" customWidth="1"/>
    <col min="5139" max="5381" width="9.140625" style="15"/>
    <col min="5382" max="5382" width="19.7109375" style="15" customWidth="1"/>
    <col min="5383" max="5383" width="22.42578125" style="15" customWidth="1"/>
    <col min="5384" max="5385" width="6.7109375" style="15" customWidth="1"/>
    <col min="5386" max="5386" width="8.7109375" style="15" customWidth="1"/>
    <col min="5387" max="5387" width="10" style="15" customWidth="1"/>
    <col min="5388" max="5388" width="10.5703125" style="15" customWidth="1"/>
    <col min="5389" max="5389" width="9.140625" style="15"/>
    <col min="5390" max="5391" width="10.140625" style="15" customWidth="1"/>
    <col min="5392" max="5392" width="9.140625" style="15"/>
    <col min="5393" max="5393" width="10.28515625" style="15" customWidth="1"/>
    <col min="5394" max="5394" width="10.5703125" style="15" customWidth="1"/>
    <col min="5395" max="5637" width="9.140625" style="15"/>
    <col min="5638" max="5638" width="19.7109375" style="15" customWidth="1"/>
    <col min="5639" max="5639" width="22.42578125" style="15" customWidth="1"/>
    <col min="5640" max="5641" width="6.7109375" style="15" customWidth="1"/>
    <col min="5642" max="5642" width="8.7109375" style="15" customWidth="1"/>
    <col min="5643" max="5643" width="10" style="15" customWidth="1"/>
    <col min="5644" max="5644" width="10.5703125" style="15" customWidth="1"/>
    <col min="5645" max="5645" width="9.140625" style="15"/>
    <col min="5646" max="5647" width="10.140625" style="15" customWidth="1"/>
    <col min="5648" max="5648" width="9.140625" style="15"/>
    <col min="5649" max="5649" width="10.28515625" style="15" customWidth="1"/>
    <col min="5650" max="5650" width="10.5703125" style="15" customWidth="1"/>
    <col min="5651" max="5893" width="9.140625" style="15"/>
    <col min="5894" max="5894" width="19.7109375" style="15" customWidth="1"/>
    <col min="5895" max="5895" width="22.42578125" style="15" customWidth="1"/>
    <col min="5896" max="5897" width="6.7109375" style="15" customWidth="1"/>
    <col min="5898" max="5898" width="8.7109375" style="15" customWidth="1"/>
    <col min="5899" max="5899" width="10" style="15" customWidth="1"/>
    <col min="5900" max="5900" width="10.5703125" style="15" customWidth="1"/>
    <col min="5901" max="5901" width="9.140625" style="15"/>
    <col min="5902" max="5903" width="10.140625" style="15" customWidth="1"/>
    <col min="5904" max="5904" width="9.140625" style="15"/>
    <col min="5905" max="5905" width="10.28515625" style="15" customWidth="1"/>
    <col min="5906" max="5906" width="10.5703125" style="15" customWidth="1"/>
    <col min="5907" max="6149" width="9.140625" style="15"/>
    <col min="6150" max="6150" width="19.7109375" style="15" customWidth="1"/>
    <col min="6151" max="6151" width="22.42578125" style="15" customWidth="1"/>
    <col min="6152" max="6153" width="6.7109375" style="15" customWidth="1"/>
    <col min="6154" max="6154" width="8.7109375" style="15" customWidth="1"/>
    <col min="6155" max="6155" width="10" style="15" customWidth="1"/>
    <col min="6156" max="6156" width="10.5703125" style="15" customWidth="1"/>
    <col min="6157" max="6157" width="9.140625" style="15"/>
    <col min="6158" max="6159" width="10.140625" style="15" customWidth="1"/>
    <col min="6160" max="6160" width="9.140625" style="15"/>
    <col min="6161" max="6161" width="10.28515625" style="15" customWidth="1"/>
    <col min="6162" max="6162" width="10.5703125" style="15" customWidth="1"/>
    <col min="6163" max="6405" width="9.140625" style="15"/>
    <col min="6406" max="6406" width="19.7109375" style="15" customWidth="1"/>
    <col min="6407" max="6407" width="22.42578125" style="15" customWidth="1"/>
    <col min="6408" max="6409" width="6.7109375" style="15" customWidth="1"/>
    <col min="6410" max="6410" width="8.7109375" style="15" customWidth="1"/>
    <col min="6411" max="6411" width="10" style="15" customWidth="1"/>
    <col min="6412" max="6412" width="10.5703125" style="15" customWidth="1"/>
    <col min="6413" max="6413" width="9.140625" style="15"/>
    <col min="6414" max="6415" width="10.140625" style="15" customWidth="1"/>
    <col min="6416" max="6416" width="9.140625" style="15"/>
    <col min="6417" max="6417" width="10.28515625" style="15" customWidth="1"/>
    <col min="6418" max="6418" width="10.5703125" style="15" customWidth="1"/>
    <col min="6419" max="6661" width="9.140625" style="15"/>
    <col min="6662" max="6662" width="19.7109375" style="15" customWidth="1"/>
    <col min="6663" max="6663" width="22.42578125" style="15" customWidth="1"/>
    <col min="6664" max="6665" width="6.7109375" style="15" customWidth="1"/>
    <col min="6666" max="6666" width="8.7109375" style="15" customWidth="1"/>
    <col min="6667" max="6667" width="10" style="15" customWidth="1"/>
    <col min="6668" max="6668" width="10.5703125" style="15" customWidth="1"/>
    <col min="6669" max="6669" width="9.140625" style="15"/>
    <col min="6670" max="6671" width="10.140625" style="15" customWidth="1"/>
    <col min="6672" max="6672" width="9.140625" style="15"/>
    <col min="6673" max="6673" width="10.28515625" style="15" customWidth="1"/>
    <col min="6674" max="6674" width="10.5703125" style="15" customWidth="1"/>
    <col min="6675" max="6917" width="9.140625" style="15"/>
    <col min="6918" max="6918" width="19.7109375" style="15" customWidth="1"/>
    <col min="6919" max="6919" width="22.42578125" style="15" customWidth="1"/>
    <col min="6920" max="6921" width="6.7109375" style="15" customWidth="1"/>
    <col min="6922" max="6922" width="8.7109375" style="15" customWidth="1"/>
    <col min="6923" max="6923" width="10" style="15" customWidth="1"/>
    <col min="6924" max="6924" width="10.5703125" style="15" customWidth="1"/>
    <col min="6925" max="6925" width="9.140625" style="15"/>
    <col min="6926" max="6927" width="10.140625" style="15" customWidth="1"/>
    <col min="6928" max="6928" width="9.140625" style="15"/>
    <col min="6929" max="6929" width="10.28515625" style="15" customWidth="1"/>
    <col min="6930" max="6930" width="10.5703125" style="15" customWidth="1"/>
    <col min="6931" max="7173" width="9.140625" style="15"/>
    <col min="7174" max="7174" width="19.7109375" style="15" customWidth="1"/>
    <col min="7175" max="7175" width="22.42578125" style="15" customWidth="1"/>
    <col min="7176" max="7177" width="6.7109375" style="15" customWidth="1"/>
    <col min="7178" max="7178" width="8.7109375" style="15" customWidth="1"/>
    <col min="7179" max="7179" width="10" style="15" customWidth="1"/>
    <col min="7180" max="7180" width="10.5703125" style="15" customWidth="1"/>
    <col min="7181" max="7181" width="9.140625" style="15"/>
    <col min="7182" max="7183" width="10.140625" style="15" customWidth="1"/>
    <col min="7184" max="7184" width="9.140625" style="15"/>
    <col min="7185" max="7185" width="10.28515625" style="15" customWidth="1"/>
    <col min="7186" max="7186" width="10.5703125" style="15" customWidth="1"/>
    <col min="7187" max="7429" width="9.140625" style="15"/>
    <col min="7430" max="7430" width="19.7109375" style="15" customWidth="1"/>
    <col min="7431" max="7431" width="22.42578125" style="15" customWidth="1"/>
    <col min="7432" max="7433" width="6.7109375" style="15" customWidth="1"/>
    <col min="7434" max="7434" width="8.7109375" style="15" customWidth="1"/>
    <col min="7435" max="7435" width="10" style="15" customWidth="1"/>
    <col min="7436" max="7436" width="10.5703125" style="15" customWidth="1"/>
    <col min="7437" max="7437" width="9.140625" style="15"/>
    <col min="7438" max="7439" width="10.140625" style="15" customWidth="1"/>
    <col min="7440" max="7440" width="9.140625" style="15"/>
    <col min="7441" max="7441" width="10.28515625" style="15" customWidth="1"/>
    <col min="7442" max="7442" width="10.5703125" style="15" customWidth="1"/>
    <col min="7443" max="7685" width="9.140625" style="15"/>
    <col min="7686" max="7686" width="19.7109375" style="15" customWidth="1"/>
    <col min="7687" max="7687" width="22.42578125" style="15" customWidth="1"/>
    <col min="7688" max="7689" width="6.7109375" style="15" customWidth="1"/>
    <col min="7690" max="7690" width="8.7109375" style="15" customWidth="1"/>
    <col min="7691" max="7691" width="10" style="15" customWidth="1"/>
    <col min="7692" max="7692" width="10.5703125" style="15" customWidth="1"/>
    <col min="7693" max="7693" width="9.140625" style="15"/>
    <col min="7694" max="7695" width="10.140625" style="15" customWidth="1"/>
    <col min="7696" max="7696" width="9.140625" style="15"/>
    <col min="7697" max="7697" width="10.28515625" style="15" customWidth="1"/>
    <col min="7698" max="7698" width="10.5703125" style="15" customWidth="1"/>
    <col min="7699" max="7941" width="9.140625" style="15"/>
    <col min="7942" max="7942" width="19.7109375" style="15" customWidth="1"/>
    <col min="7943" max="7943" width="22.42578125" style="15" customWidth="1"/>
    <col min="7944" max="7945" width="6.7109375" style="15" customWidth="1"/>
    <col min="7946" max="7946" width="8.7109375" style="15" customWidth="1"/>
    <col min="7947" max="7947" width="10" style="15" customWidth="1"/>
    <col min="7948" max="7948" width="10.5703125" style="15" customWidth="1"/>
    <col min="7949" max="7949" width="9.140625" style="15"/>
    <col min="7950" max="7951" width="10.140625" style="15" customWidth="1"/>
    <col min="7952" max="7952" width="9.140625" style="15"/>
    <col min="7953" max="7953" width="10.28515625" style="15" customWidth="1"/>
    <col min="7954" max="7954" width="10.5703125" style="15" customWidth="1"/>
    <col min="7955" max="8197" width="9.140625" style="15"/>
    <col min="8198" max="8198" width="19.7109375" style="15" customWidth="1"/>
    <col min="8199" max="8199" width="22.42578125" style="15" customWidth="1"/>
    <col min="8200" max="8201" width="6.7109375" style="15" customWidth="1"/>
    <col min="8202" max="8202" width="8.7109375" style="15" customWidth="1"/>
    <col min="8203" max="8203" width="10" style="15" customWidth="1"/>
    <col min="8204" max="8204" width="10.5703125" style="15" customWidth="1"/>
    <col min="8205" max="8205" width="9.140625" style="15"/>
    <col min="8206" max="8207" width="10.140625" style="15" customWidth="1"/>
    <col min="8208" max="8208" width="9.140625" style="15"/>
    <col min="8209" max="8209" width="10.28515625" style="15" customWidth="1"/>
    <col min="8210" max="8210" width="10.5703125" style="15" customWidth="1"/>
    <col min="8211" max="8453" width="9.140625" style="15"/>
    <col min="8454" max="8454" width="19.7109375" style="15" customWidth="1"/>
    <col min="8455" max="8455" width="22.42578125" style="15" customWidth="1"/>
    <col min="8456" max="8457" width="6.7109375" style="15" customWidth="1"/>
    <col min="8458" max="8458" width="8.7109375" style="15" customWidth="1"/>
    <col min="8459" max="8459" width="10" style="15" customWidth="1"/>
    <col min="8460" max="8460" width="10.5703125" style="15" customWidth="1"/>
    <col min="8461" max="8461" width="9.140625" style="15"/>
    <col min="8462" max="8463" width="10.140625" style="15" customWidth="1"/>
    <col min="8464" max="8464" width="9.140625" style="15"/>
    <col min="8465" max="8465" width="10.28515625" style="15" customWidth="1"/>
    <col min="8466" max="8466" width="10.5703125" style="15" customWidth="1"/>
    <col min="8467" max="8709" width="9.140625" style="15"/>
    <col min="8710" max="8710" width="19.7109375" style="15" customWidth="1"/>
    <col min="8711" max="8711" width="22.42578125" style="15" customWidth="1"/>
    <col min="8712" max="8713" width="6.7109375" style="15" customWidth="1"/>
    <col min="8714" max="8714" width="8.7109375" style="15" customWidth="1"/>
    <col min="8715" max="8715" width="10" style="15" customWidth="1"/>
    <col min="8716" max="8716" width="10.5703125" style="15" customWidth="1"/>
    <col min="8717" max="8717" width="9.140625" style="15"/>
    <col min="8718" max="8719" width="10.140625" style="15" customWidth="1"/>
    <col min="8720" max="8720" width="9.140625" style="15"/>
    <col min="8721" max="8721" width="10.28515625" style="15" customWidth="1"/>
    <col min="8722" max="8722" width="10.5703125" style="15" customWidth="1"/>
    <col min="8723" max="8965" width="9.140625" style="15"/>
    <col min="8966" max="8966" width="19.7109375" style="15" customWidth="1"/>
    <col min="8967" max="8967" width="22.42578125" style="15" customWidth="1"/>
    <col min="8968" max="8969" width="6.7109375" style="15" customWidth="1"/>
    <col min="8970" max="8970" width="8.7109375" style="15" customWidth="1"/>
    <col min="8971" max="8971" width="10" style="15" customWidth="1"/>
    <col min="8972" max="8972" width="10.5703125" style="15" customWidth="1"/>
    <col min="8973" max="8973" width="9.140625" style="15"/>
    <col min="8974" max="8975" width="10.140625" style="15" customWidth="1"/>
    <col min="8976" max="8976" width="9.140625" style="15"/>
    <col min="8977" max="8977" width="10.28515625" style="15" customWidth="1"/>
    <col min="8978" max="8978" width="10.5703125" style="15" customWidth="1"/>
    <col min="8979" max="9221" width="9.140625" style="15"/>
    <col min="9222" max="9222" width="19.7109375" style="15" customWidth="1"/>
    <col min="9223" max="9223" width="22.42578125" style="15" customWidth="1"/>
    <col min="9224" max="9225" width="6.7109375" style="15" customWidth="1"/>
    <col min="9226" max="9226" width="8.7109375" style="15" customWidth="1"/>
    <col min="9227" max="9227" width="10" style="15" customWidth="1"/>
    <col min="9228" max="9228" width="10.5703125" style="15" customWidth="1"/>
    <col min="9229" max="9229" width="9.140625" style="15"/>
    <col min="9230" max="9231" width="10.140625" style="15" customWidth="1"/>
    <col min="9232" max="9232" width="9.140625" style="15"/>
    <col min="9233" max="9233" width="10.28515625" style="15" customWidth="1"/>
    <col min="9234" max="9234" width="10.5703125" style="15" customWidth="1"/>
    <col min="9235" max="9477" width="9.140625" style="15"/>
    <col min="9478" max="9478" width="19.7109375" style="15" customWidth="1"/>
    <col min="9479" max="9479" width="22.42578125" style="15" customWidth="1"/>
    <col min="9480" max="9481" width="6.7109375" style="15" customWidth="1"/>
    <col min="9482" max="9482" width="8.7109375" style="15" customWidth="1"/>
    <col min="9483" max="9483" width="10" style="15" customWidth="1"/>
    <col min="9484" max="9484" width="10.5703125" style="15" customWidth="1"/>
    <col min="9485" max="9485" width="9.140625" style="15"/>
    <col min="9486" max="9487" width="10.140625" style="15" customWidth="1"/>
    <col min="9488" max="9488" width="9.140625" style="15"/>
    <col min="9489" max="9489" width="10.28515625" style="15" customWidth="1"/>
    <col min="9490" max="9490" width="10.5703125" style="15" customWidth="1"/>
    <col min="9491" max="9733" width="9.140625" style="15"/>
    <col min="9734" max="9734" width="19.7109375" style="15" customWidth="1"/>
    <col min="9735" max="9735" width="22.42578125" style="15" customWidth="1"/>
    <col min="9736" max="9737" width="6.7109375" style="15" customWidth="1"/>
    <col min="9738" max="9738" width="8.7109375" style="15" customWidth="1"/>
    <col min="9739" max="9739" width="10" style="15" customWidth="1"/>
    <col min="9740" max="9740" width="10.5703125" style="15" customWidth="1"/>
    <col min="9741" max="9741" width="9.140625" style="15"/>
    <col min="9742" max="9743" width="10.140625" style="15" customWidth="1"/>
    <col min="9744" max="9744" width="9.140625" style="15"/>
    <col min="9745" max="9745" width="10.28515625" style="15" customWidth="1"/>
    <col min="9746" max="9746" width="10.5703125" style="15" customWidth="1"/>
    <col min="9747" max="9989" width="9.140625" style="15"/>
    <col min="9990" max="9990" width="19.7109375" style="15" customWidth="1"/>
    <col min="9991" max="9991" width="22.42578125" style="15" customWidth="1"/>
    <col min="9992" max="9993" width="6.7109375" style="15" customWidth="1"/>
    <col min="9994" max="9994" width="8.7109375" style="15" customWidth="1"/>
    <col min="9995" max="9995" width="10" style="15" customWidth="1"/>
    <col min="9996" max="9996" width="10.5703125" style="15" customWidth="1"/>
    <col min="9997" max="9997" width="9.140625" style="15"/>
    <col min="9998" max="9999" width="10.140625" style="15" customWidth="1"/>
    <col min="10000" max="10000" width="9.140625" style="15"/>
    <col min="10001" max="10001" width="10.28515625" style="15" customWidth="1"/>
    <col min="10002" max="10002" width="10.5703125" style="15" customWidth="1"/>
    <col min="10003" max="10245" width="9.140625" style="15"/>
    <col min="10246" max="10246" width="19.7109375" style="15" customWidth="1"/>
    <col min="10247" max="10247" width="22.42578125" style="15" customWidth="1"/>
    <col min="10248" max="10249" width="6.7109375" style="15" customWidth="1"/>
    <col min="10250" max="10250" width="8.7109375" style="15" customWidth="1"/>
    <col min="10251" max="10251" width="10" style="15" customWidth="1"/>
    <col min="10252" max="10252" width="10.5703125" style="15" customWidth="1"/>
    <col min="10253" max="10253" width="9.140625" style="15"/>
    <col min="10254" max="10255" width="10.140625" style="15" customWidth="1"/>
    <col min="10256" max="10256" width="9.140625" style="15"/>
    <col min="10257" max="10257" width="10.28515625" style="15" customWidth="1"/>
    <col min="10258" max="10258" width="10.5703125" style="15" customWidth="1"/>
    <col min="10259" max="10501" width="9.140625" style="15"/>
    <col min="10502" max="10502" width="19.7109375" style="15" customWidth="1"/>
    <col min="10503" max="10503" width="22.42578125" style="15" customWidth="1"/>
    <col min="10504" max="10505" width="6.7109375" style="15" customWidth="1"/>
    <col min="10506" max="10506" width="8.7109375" style="15" customWidth="1"/>
    <col min="10507" max="10507" width="10" style="15" customWidth="1"/>
    <col min="10508" max="10508" width="10.5703125" style="15" customWidth="1"/>
    <col min="10509" max="10509" width="9.140625" style="15"/>
    <col min="10510" max="10511" width="10.140625" style="15" customWidth="1"/>
    <col min="10512" max="10512" width="9.140625" style="15"/>
    <col min="10513" max="10513" width="10.28515625" style="15" customWidth="1"/>
    <col min="10514" max="10514" width="10.5703125" style="15" customWidth="1"/>
    <col min="10515" max="10757" width="9.140625" style="15"/>
    <col min="10758" max="10758" width="19.7109375" style="15" customWidth="1"/>
    <col min="10759" max="10759" width="22.42578125" style="15" customWidth="1"/>
    <col min="10760" max="10761" width="6.7109375" style="15" customWidth="1"/>
    <col min="10762" max="10762" width="8.7109375" style="15" customWidth="1"/>
    <col min="10763" max="10763" width="10" style="15" customWidth="1"/>
    <col min="10764" max="10764" width="10.5703125" style="15" customWidth="1"/>
    <col min="10765" max="10765" width="9.140625" style="15"/>
    <col min="10766" max="10767" width="10.140625" style="15" customWidth="1"/>
    <col min="10768" max="10768" width="9.140625" style="15"/>
    <col min="10769" max="10769" width="10.28515625" style="15" customWidth="1"/>
    <col min="10770" max="10770" width="10.5703125" style="15" customWidth="1"/>
    <col min="10771" max="11013" width="9.140625" style="15"/>
    <col min="11014" max="11014" width="19.7109375" style="15" customWidth="1"/>
    <col min="11015" max="11015" width="22.42578125" style="15" customWidth="1"/>
    <col min="11016" max="11017" width="6.7109375" style="15" customWidth="1"/>
    <col min="11018" max="11018" width="8.7109375" style="15" customWidth="1"/>
    <col min="11019" max="11019" width="10" style="15" customWidth="1"/>
    <col min="11020" max="11020" width="10.5703125" style="15" customWidth="1"/>
    <col min="11021" max="11021" width="9.140625" style="15"/>
    <col min="11022" max="11023" width="10.140625" style="15" customWidth="1"/>
    <col min="11024" max="11024" width="9.140625" style="15"/>
    <col min="11025" max="11025" width="10.28515625" style="15" customWidth="1"/>
    <col min="11026" max="11026" width="10.5703125" style="15" customWidth="1"/>
    <col min="11027" max="11269" width="9.140625" style="15"/>
    <col min="11270" max="11270" width="19.7109375" style="15" customWidth="1"/>
    <col min="11271" max="11271" width="22.42578125" style="15" customWidth="1"/>
    <col min="11272" max="11273" width="6.7109375" style="15" customWidth="1"/>
    <col min="11274" max="11274" width="8.7109375" style="15" customWidth="1"/>
    <col min="11275" max="11275" width="10" style="15" customWidth="1"/>
    <col min="11276" max="11276" width="10.5703125" style="15" customWidth="1"/>
    <col min="11277" max="11277" width="9.140625" style="15"/>
    <col min="11278" max="11279" width="10.140625" style="15" customWidth="1"/>
    <col min="11280" max="11280" width="9.140625" style="15"/>
    <col min="11281" max="11281" width="10.28515625" style="15" customWidth="1"/>
    <col min="11282" max="11282" width="10.5703125" style="15" customWidth="1"/>
    <col min="11283" max="11525" width="9.140625" style="15"/>
    <col min="11526" max="11526" width="19.7109375" style="15" customWidth="1"/>
    <col min="11527" max="11527" width="22.42578125" style="15" customWidth="1"/>
    <col min="11528" max="11529" width="6.7109375" style="15" customWidth="1"/>
    <col min="11530" max="11530" width="8.7109375" style="15" customWidth="1"/>
    <col min="11531" max="11531" width="10" style="15" customWidth="1"/>
    <col min="11532" max="11532" width="10.5703125" style="15" customWidth="1"/>
    <col min="11533" max="11533" width="9.140625" style="15"/>
    <col min="11534" max="11535" width="10.140625" style="15" customWidth="1"/>
    <col min="11536" max="11536" width="9.140625" style="15"/>
    <col min="11537" max="11537" width="10.28515625" style="15" customWidth="1"/>
    <col min="11538" max="11538" width="10.5703125" style="15" customWidth="1"/>
    <col min="11539" max="11781" width="9.140625" style="15"/>
    <col min="11782" max="11782" width="19.7109375" style="15" customWidth="1"/>
    <col min="11783" max="11783" width="22.42578125" style="15" customWidth="1"/>
    <col min="11784" max="11785" width="6.7109375" style="15" customWidth="1"/>
    <col min="11786" max="11786" width="8.7109375" style="15" customWidth="1"/>
    <col min="11787" max="11787" width="10" style="15" customWidth="1"/>
    <col min="11788" max="11788" width="10.5703125" style="15" customWidth="1"/>
    <col min="11789" max="11789" width="9.140625" style="15"/>
    <col min="11790" max="11791" width="10.140625" style="15" customWidth="1"/>
    <col min="11792" max="11792" width="9.140625" style="15"/>
    <col min="11793" max="11793" width="10.28515625" style="15" customWidth="1"/>
    <col min="11794" max="11794" width="10.5703125" style="15" customWidth="1"/>
    <col min="11795" max="12037" width="9.140625" style="15"/>
    <col min="12038" max="12038" width="19.7109375" style="15" customWidth="1"/>
    <col min="12039" max="12039" width="22.42578125" style="15" customWidth="1"/>
    <col min="12040" max="12041" width="6.7109375" style="15" customWidth="1"/>
    <col min="12042" max="12042" width="8.7109375" style="15" customWidth="1"/>
    <col min="12043" max="12043" width="10" style="15" customWidth="1"/>
    <col min="12044" max="12044" width="10.5703125" style="15" customWidth="1"/>
    <col min="12045" max="12045" width="9.140625" style="15"/>
    <col min="12046" max="12047" width="10.140625" style="15" customWidth="1"/>
    <col min="12048" max="12048" width="9.140625" style="15"/>
    <col min="12049" max="12049" width="10.28515625" style="15" customWidth="1"/>
    <col min="12050" max="12050" width="10.5703125" style="15" customWidth="1"/>
    <col min="12051" max="12293" width="9.140625" style="15"/>
    <col min="12294" max="12294" width="19.7109375" style="15" customWidth="1"/>
    <col min="12295" max="12295" width="22.42578125" style="15" customWidth="1"/>
    <col min="12296" max="12297" width="6.7109375" style="15" customWidth="1"/>
    <col min="12298" max="12298" width="8.7109375" style="15" customWidth="1"/>
    <col min="12299" max="12299" width="10" style="15" customWidth="1"/>
    <col min="12300" max="12300" width="10.5703125" style="15" customWidth="1"/>
    <col min="12301" max="12301" width="9.140625" style="15"/>
    <col min="12302" max="12303" width="10.140625" style="15" customWidth="1"/>
    <col min="12304" max="12304" width="9.140625" style="15"/>
    <col min="12305" max="12305" width="10.28515625" style="15" customWidth="1"/>
    <col min="12306" max="12306" width="10.5703125" style="15" customWidth="1"/>
    <col min="12307" max="12549" width="9.140625" style="15"/>
    <col min="12550" max="12550" width="19.7109375" style="15" customWidth="1"/>
    <col min="12551" max="12551" width="22.42578125" style="15" customWidth="1"/>
    <col min="12552" max="12553" width="6.7109375" style="15" customWidth="1"/>
    <col min="12554" max="12554" width="8.7109375" style="15" customWidth="1"/>
    <col min="12555" max="12555" width="10" style="15" customWidth="1"/>
    <col min="12556" max="12556" width="10.5703125" style="15" customWidth="1"/>
    <col min="12557" max="12557" width="9.140625" style="15"/>
    <col min="12558" max="12559" width="10.140625" style="15" customWidth="1"/>
    <col min="12560" max="12560" width="9.140625" style="15"/>
    <col min="12561" max="12561" width="10.28515625" style="15" customWidth="1"/>
    <col min="12562" max="12562" width="10.5703125" style="15" customWidth="1"/>
    <col min="12563" max="12805" width="9.140625" style="15"/>
    <col min="12806" max="12806" width="19.7109375" style="15" customWidth="1"/>
    <col min="12807" max="12807" width="22.42578125" style="15" customWidth="1"/>
    <col min="12808" max="12809" width="6.7109375" style="15" customWidth="1"/>
    <col min="12810" max="12810" width="8.7109375" style="15" customWidth="1"/>
    <col min="12811" max="12811" width="10" style="15" customWidth="1"/>
    <col min="12812" max="12812" width="10.5703125" style="15" customWidth="1"/>
    <col min="12813" max="12813" width="9.140625" style="15"/>
    <col min="12814" max="12815" width="10.140625" style="15" customWidth="1"/>
    <col min="12816" max="12816" width="9.140625" style="15"/>
    <col min="12817" max="12817" width="10.28515625" style="15" customWidth="1"/>
    <col min="12818" max="12818" width="10.5703125" style="15" customWidth="1"/>
    <col min="12819" max="13061" width="9.140625" style="15"/>
    <col min="13062" max="13062" width="19.7109375" style="15" customWidth="1"/>
    <col min="13063" max="13063" width="22.42578125" style="15" customWidth="1"/>
    <col min="13064" max="13065" width="6.7109375" style="15" customWidth="1"/>
    <col min="13066" max="13066" width="8.7109375" style="15" customWidth="1"/>
    <col min="13067" max="13067" width="10" style="15" customWidth="1"/>
    <col min="13068" max="13068" width="10.5703125" style="15" customWidth="1"/>
    <col min="13069" max="13069" width="9.140625" style="15"/>
    <col min="13070" max="13071" width="10.140625" style="15" customWidth="1"/>
    <col min="13072" max="13072" width="9.140625" style="15"/>
    <col min="13073" max="13073" width="10.28515625" style="15" customWidth="1"/>
    <col min="13074" max="13074" width="10.5703125" style="15" customWidth="1"/>
    <col min="13075" max="13317" width="9.140625" style="15"/>
    <col min="13318" max="13318" width="19.7109375" style="15" customWidth="1"/>
    <col min="13319" max="13319" width="22.42578125" style="15" customWidth="1"/>
    <col min="13320" max="13321" width="6.7109375" style="15" customWidth="1"/>
    <col min="13322" max="13322" width="8.7109375" style="15" customWidth="1"/>
    <col min="13323" max="13323" width="10" style="15" customWidth="1"/>
    <col min="13324" max="13324" width="10.5703125" style="15" customWidth="1"/>
    <col min="13325" max="13325" width="9.140625" style="15"/>
    <col min="13326" max="13327" width="10.140625" style="15" customWidth="1"/>
    <col min="13328" max="13328" width="9.140625" style="15"/>
    <col min="13329" max="13329" width="10.28515625" style="15" customWidth="1"/>
    <col min="13330" max="13330" width="10.5703125" style="15" customWidth="1"/>
    <col min="13331" max="13573" width="9.140625" style="15"/>
    <col min="13574" max="13574" width="19.7109375" style="15" customWidth="1"/>
    <col min="13575" max="13575" width="22.42578125" style="15" customWidth="1"/>
    <col min="13576" max="13577" width="6.7109375" style="15" customWidth="1"/>
    <col min="13578" max="13578" width="8.7109375" style="15" customWidth="1"/>
    <col min="13579" max="13579" width="10" style="15" customWidth="1"/>
    <col min="13580" max="13580" width="10.5703125" style="15" customWidth="1"/>
    <col min="13581" max="13581" width="9.140625" style="15"/>
    <col min="13582" max="13583" width="10.140625" style="15" customWidth="1"/>
    <col min="13584" max="13584" width="9.140625" style="15"/>
    <col min="13585" max="13585" width="10.28515625" style="15" customWidth="1"/>
    <col min="13586" max="13586" width="10.5703125" style="15" customWidth="1"/>
    <col min="13587" max="13829" width="9.140625" style="15"/>
    <col min="13830" max="13830" width="19.7109375" style="15" customWidth="1"/>
    <col min="13831" max="13831" width="22.42578125" style="15" customWidth="1"/>
    <col min="13832" max="13833" width="6.7109375" style="15" customWidth="1"/>
    <col min="13834" max="13834" width="8.7109375" style="15" customWidth="1"/>
    <col min="13835" max="13835" width="10" style="15" customWidth="1"/>
    <col min="13836" max="13836" width="10.5703125" style="15" customWidth="1"/>
    <col min="13837" max="13837" width="9.140625" style="15"/>
    <col min="13838" max="13839" width="10.140625" style="15" customWidth="1"/>
    <col min="13840" max="13840" width="9.140625" style="15"/>
    <col min="13841" max="13841" width="10.28515625" style="15" customWidth="1"/>
    <col min="13842" max="13842" width="10.5703125" style="15" customWidth="1"/>
    <col min="13843" max="14085" width="9.140625" style="15"/>
    <col min="14086" max="14086" width="19.7109375" style="15" customWidth="1"/>
    <col min="14087" max="14087" width="22.42578125" style="15" customWidth="1"/>
    <col min="14088" max="14089" width="6.7109375" style="15" customWidth="1"/>
    <col min="14090" max="14090" width="8.7109375" style="15" customWidth="1"/>
    <col min="14091" max="14091" width="10" style="15" customWidth="1"/>
    <col min="14092" max="14092" width="10.5703125" style="15" customWidth="1"/>
    <col min="14093" max="14093" width="9.140625" style="15"/>
    <col min="14094" max="14095" width="10.140625" style="15" customWidth="1"/>
    <col min="14096" max="14096" width="9.140625" style="15"/>
    <col min="14097" max="14097" width="10.28515625" style="15" customWidth="1"/>
    <col min="14098" max="14098" width="10.5703125" style="15" customWidth="1"/>
    <col min="14099" max="14341" width="9.140625" style="15"/>
    <col min="14342" max="14342" width="19.7109375" style="15" customWidth="1"/>
    <col min="14343" max="14343" width="22.42578125" style="15" customWidth="1"/>
    <col min="14344" max="14345" width="6.7109375" style="15" customWidth="1"/>
    <col min="14346" max="14346" width="8.7109375" style="15" customWidth="1"/>
    <col min="14347" max="14347" width="10" style="15" customWidth="1"/>
    <col min="14348" max="14348" width="10.5703125" style="15" customWidth="1"/>
    <col min="14349" max="14349" width="9.140625" style="15"/>
    <col min="14350" max="14351" width="10.140625" style="15" customWidth="1"/>
    <col min="14352" max="14352" width="9.140625" style="15"/>
    <col min="14353" max="14353" width="10.28515625" style="15" customWidth="1"/>
    <col min="14354" max="14354" width="10.5703125" style="15" customWidth="1"/>
    <col min="14355" max="14597" width="9.140625" style="15"/>
    <col min="14598" max="14598" width="19.7109375" style="15" customWidth="1"/>
    <col min="14599" max="14599" width="22.42578125" style="15" customWidth="1"/>
    <col min="14600" max="14601" width="6.7109375" style="15" customWidth="1"/>
    <col min="14602" max="14602" width="8.7109375" style="15" customWidth="1"/>
    <col min="14603" max="14603" width="10" style="15" customWidth="1"/>
    <col min="14604" max="14604" width="10.5703125" style="15" customWidth="1"/>
    <col min="14605" max="14605" width="9.140625" style="15"/>
    <col min="14606" max="14607" width="10.140625" style="15" customWidth="1"/>
    <col min="14608" max="14608" width="9.140625" style="15"/>
    <col min="14609" max="14609" width="10.28515625" style="15" customWidth="1"/>
    <col min="14610" max="14610" width="10.5703125" style="15" customWidth="1"/>
    <col min="14611" max="14853" width="9.140625" style="15"/>
    <col min="14854" max="14854" width="19.7109375" style="15" customWidth="1"/>
    <col min="14855" max="14855" width="22.42578125" style="15" customWidth="1"/>
    <col min="14856" max="14857" width="6.7109375" style="15" customWidth="1"/>
    <col min="14858" max="14858" width="8.7109375" style="15" customWidth="1"/>
    <col min="14859" max="14859" width="10" style="15" customWidth="1"/>
    <col min="14860" max="14860" width="10.5703125" style="15" customWidth="1"/>
    <col min="14861" max="14861" width="9.140625" style="15"/>
    <col min="14862" max="14863" width="10.140625" style="15" customWidth="1"/>
    <col min="14864" max="14864" width="9.140625" style="15"/>
    <col min="14865" max="14865" width="10.28515625" style="15" customWidth="1"/>
    <col min="14866" max="14866" width="10.5703125" style="15" customWidth="1"/>
    <col min="14867" max="15109" width="9.140625" style="15"/>
    <col min="15110" max="15110" width="19.7109375" style="15" customWidth="1"/>
    <col min="15111" max="15111" width="22.42578125" style="15" customWidth="1"/>
    <col min="15112" max="15113" width="6.7109375" style="15" customWidth="1"/>
    <col min="15114" max="15114" width="8.7109375" style="15" customWidth="1"/>
    <col min="15115" max="15115" width="10" style="15" customWidth="1"/>
    <col min="15116" max="15116" width="10.5703125" style="15" customWidth="1"/>
    <col min="15117" max="15117" width="9.140625" style="15"/>
    <col min="15118" max="15119" width="10.140625" style="15" customWidth="1"/>
    <col min="15120" max="15120" width="9.140625" style="15"/>
    <col min="15121" max="15121" width="10.28515625" style="15" customWidth="1"/>
    <col min="15122" max="15122" width="10.5703125" style="15" customWidth="1"/>
    <col min="15123" max="15365" width="9.140625" style="15"/>
    <col min="15366" max="15366" width="19.7109375" style="15" customWidth="1"/>
    <col min="15367" max="15367" width="22.42578125" style="15" customWidth="1"/>
    <col min="15368" max="15369" width="6.7109375" style="15" customWidth="1"/>
    <col min="15370" max="15370" width="8.7109375" style="15" customWidth="1"/>
    <col min="15371" max="15371" width="10" style="15" customWidth="1"/>
    <col min="15372" max="15372" width="10.5703125" style="15" customWidth="1"/>
    <col min="15373" max="15373" width="9.140625" style="15"/>
    <col min="15374" max="15375" width="10.140625" style="15" customWidth="1"/>
    <col min="15376" max="15376" width="9.140625" style="15"/>
    <col min="15377" max="15377" width="10.28515625" style="15" customWidth="1"/>
    <col min="15378" max="15378" width="10.5703125" style="15" customWidth="1"/>
    <col min="15379" max="15621" width="9.140625" style="15"/>
    <col min="15622" max="15622" width="19.7109375" style="15" customWidth="1"/>
    <col min="15623" max="15623" width="22.42578125" style="15" customWidth="1"/>
    <col min="15624" max="15625" width="6.7109375" style="15" customWidth="1"/>
    <col min="15626" max="15626" width="8.7109375" style="15" customWidth="1"/>
    <col min="15627" max="15627" width="10" style="15" customWidth="1"/>
    <col min="15628" max="15628" width="10.5703125" style="15" customWidth="1"/>
    <col min="15629" max="15629" width="9.140625" style="15"/>
    <col min="15630" max="15631" width="10.140625" style="15" customWidth="1"/>
    <col min="15632" max="15632" width="9.140625" style="15"/>
    <col min="15633" max="15633" width="10.28515625" style="15" customWidth="1"/>
    <col min="15634" max="15634" width="10.5703125" style="15" customWidth="1"/>
    <col min="15635" max="15877" width="9.140625" style="15"/>
    <col min="15878" max="15878" width="19.7109375" style="15" customWidth="1"/>
    <col min="15879" max="15879" width="22.42578125" style="15" customWidth="1"/>
    <col min="15880" max="15881" width="6.7109375" style="15" customWidth="1"/>
    <col min="15882" max="15882" width="8.7109375" style="15" customWidth="1"/>
    <col min="15883" max="15883" width="10" style="15" customWidth="1"/>
    <col min="15884" max="15884" width="10.5703125" style="15" customWidth="1"/>
    <col min="15885" max="15885" width="9.140625" style="15"/>
    <col min="15886" max="15887" width="10.140625" style="15" customWidth="1"/>
    <col min="15888" max="15888" width="9.140625" style="15"/>
    <col min="15889" max="15889" width="10.28515625" style="15" customWidth="1"/>
    <col min="15890" max="15890" width="10.5703125" style="15" customWidth="1"/>
    <col min="15891" max="16133" width="9.140625" style="15"/>
    <col min="16134" max="16134" width="19.7109375" style="15" customWidth="1"/>
    <col min="16135" max="16135" width="22.42578125" style="15" customWidth="1"/>
    <col min="16136" max="16137" width="6.7109375" style="15" customWidth="1"/>
    <col min="16138" max="16138" width="8.7109375" style="15" customWidth="1"/>
    <col min="16139" max="16139" width="10" style="15" customWidth="1"/>
    <col min="16140" max="16140" width="10.5703125" style="15" customWidth="1"/>
    <col min="16141" max="16141" width="9.140625" style="15"/>
    <col min="16142" max="16143" width="10.140625" style="15" customWidth="1"/>
    <col min="16144" max="16144" width="9.140625" style="15"/>
    <col min="16145" max="16145" width="10.28515625" style="15" customWidth="1"/>
    <col min="16146" max="16146" width="10.5703125" style="15" customWidth="1"/>
    <col min="16147" max="16384" width="9.140625" style="15"/>
  </cols>
  <sheetData>
    <row r="1" spans="1:19" ht="15">
      <c r="B1" s="239" t="s">
        <v>13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19" ht="29.25" customHeight="1">
      <c r="B2" s="223" t="s">
        <v>109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>
      <c r="R3" s="172"/>
      <c r="S3" s="16" t="s">
        <v>9</v>
      </c>
    </row>
    <row r="4" spans="1:19" ht="30" customHeight="1">
      <c r="A4" s="231" t="s">
        <v>0</v>
      </c>
      <c r="B4" s="231" t="s">
        <v>15</v>
      </c>
      <c r="C4" s="231" t="s">
        <v>1</v>
      </c>
      <c r="D4" s="231"/>
      <c r="E4" s="231"/>
      <c r="F4" s="246" t="s">
        <v>82</v>
      </c>
      <c r="G4" s="242" t="s">
        <v>10</v>
      </c>
      <c r="H4" s="242"/>
      <c r="I4" s="242"/>
      <c r="J4" s="242" t="s">
        <v>11</v>
      </c>
      <c r="K4" s="242"/>
      <c r="L4" s="242"/>
      <c r="M4" s="242" t="s">
        <v>12</v>
      </c>
      <c r="N4" s="242"/>
      <c r="O4" s="242"/>
      <c r="P4" s="240" t="s">
        <v>41</v>
      </c>
      <c r="Q4" s="240"/>
      <c r="R4" s="240"/>
      <c r="S4" s="232" t="s">
        <v>111</v>
      </c>
    </row>
    <row r="5" spans="1:19">
      <c r="A5" s="231"/>
      <c r="B5" s="231"/>
      <c r="C5" s="231" t="s">
        <v>2</v>
      </c>
      <c r="D5" s="231" t="s">
        <v>3</v>
      </c>
      <c r="E5" s="231" t="s">
        <v>4</v>
      </c>
      <c r="F5" s="247"/>
      <c r="G5" s="241" t="s">
        <v>5</v>
      </c>
      <c r="H5" s="244" t="s">
        <v>14</v>
      </c>
      <c r="I5" s="245"/>
      <c r="J5" s="241" t="s">
        <v>5</v>
      </c>
      <c r="K5" s="244" t="s">
        <v>14</v>
      </c>
      <c r="L5" s="245"/>
      <c r="M5" s="241" t="s">
        <v>5</v>
      </c>
      <c r="N5" s="243" t="s">
        <v>14</v>
      </c>
      <c r="O5" s="243"/>
      <c r="P5" s="241" t="s">
        <v>5</v>
      </c>
      <c r="Q5" s="244" t="s">
        <v>14</v>
      </c>
      <c r="R5" s="245"/>
      <c r="S5" s="233"/>
    </row>
    <row r="6" spans="1:19" ht="42.75" customHeight="1">
      <c r="A6" s="231"/>
      <c r="B6" s="231"/>
      <c r="C6" s="231"/>
      <c r="D6" s="231"/>
      <c r="E6" s="231"/>
      <c r="F6" s="248"/>
      <c r="G6" s="241"/>
      <c r="H6" s="17" t="s">
        <v>6</v>
      </c>
      <c r="I6" s="17" t="s">
        <v>7</v>
      </c>
      <c r="J6" s="241"/>
      <c r="K6" s="17" t="s">
        <v>6</v>
      </c>
      <c r="L6" s="17" t="s">
        <v>7</v>
      </c>
      <c r="M6" s="241"/>
      <c r="N6" s="77" t="s">
        <v>6</v>
      </c>
      <c r="O6" s="77" t="s">
        <v>7</v>
      </c>
      <c r="P6" s="241"/>
      <c r="Q6" s="17" t="s">
        <v>6</v>
      </c>
      <c r="R6" s="17" t="s">
        <v>7</v>
      </c>
      <c r="S6" s="234"/>
    </row>
    <row r="7" spans="1:19" ht="15">
      <c r="A7" s="18">
        <v>1</v>
      </c>
      <c r="B7" s="19" t="s">
        <v>53</v>
      </c>
      <c r="C7" s="195" t="s">
        <v>54</v>
      </c>
      <c r="D7" s="196">
        <v>13</v>
      </c>
      <c r="E7" s="196"/>
      <c r="F7" s="180">
        <f>[1]МКД!$H$179</f>
        <v>70</v>
      </c>
      <c r="G7" s="19">
        <f t="shared" ref="G7:G18" si="0">I7+H7</f>
        <v>2032.62</v>
      </c>
      <c r="H7" s="19">
        <v>889.18</v>
      </c>
      <c r="I7" s="19">
        <v>1143.44</v>
      </c>
      <c r="J7" s="19">
        <f t="shared" ref="J7:J22" si="1">L7+K7</f>
        <v>2045.5300000000002</v>
      </c>
      <c r="K7" s="19">
        <v>939.39</v>
      </c>
      <c r="L7" s="19">
        <v>1106.1400000000001</v>
      </c>
      <c r="M7" s="76">
        <f t="shared" ref="M7:M22" si="2">O7+N7</f>
        <v>1203.27</v>
      </c>
      <c r="N7" s="76">
        <v>964.07</v>
      </c>
      <c r="O7" s="76">
        <v>239.2</v>
      </c>
      <c r="P7" s="195">
        <f t="shared" ref="P7:P22" si="3">R7+Q7</f>
        <v>1292.8700000000001</v>
      </c>
      <c r="Q7" s="195">
        <v>1053.67</v>
      </c>
      <c r="R7" s="195">
        <v>239.2</v>
      </c>
      <c r="S7" s="37">
        <f t="shared" ref="S7:S22" si="4">P7/F7</f>
        <v>18.469571428571431</v>
      </c>
    </row>
    <row r="8" spans="1:19" ht="15">
      <c r="A8" s="18">
        <v>2</v>
      </c>
      <c r="B8" s="19" t="s">
        <v>53</v>
      </c>
      <c r="C8" s="19" t="s">
        <v>19</v>
      </c>
      <c r="D8" s="20">
        <v>31</v>
      </c>
      <c r="E8" s="20" t="s">
        <v>20</v>
      </c>
      <c r="F8" s="75">
        <f>[1]МКД!$H$169</f>
        <v>60</v>
      </c>
      <c r="G8" s="19">
        <f t="shared" si="0"/>
        <v>1044.52</v>
      </c>
      <c r="H8" s="19">
        <v>329.24</v>
      </c>
      <c r="I8" s="19">
        <v>715.28</v>
      </c>
      <c r="J8" s="19">
        <f t="shared" si="1"/>
        <v>886.57</v>
      </c>
      <c r="K8" s="19">
        <v>258.86</v>
      </c>
      <c r="L8" s="19">
        <v>627.71</v>
      </c>
      <c r="M8" s="76">
        <f t="shared" si="2"/>
        <v>934.67000000000007</v>
      </c>
      <c r="N8" s="76">
        <v>251.71</v>
      </c>
      <c r="O8" s="76">
        <v>682.96</v>
      </c>
      <c r="P8" s="19">
        <f t="shared" si="3"/>
        <v>935.26</v>
      </c>
      <c r="Q8" s="19">
        <v>287.31</v>
      </c>
      <c r="R8" s="19">
        <v>647.95000000000005</v>
      </c>
      <c r="S8" s="37">
        <f t="shared" si="4"/>
        <v>15.587666666666667</v>
      </c>
    </row>
    <row r="9" spans="1:19" ht="15">
      <c r="A9" s="18">
        <v>3</v>
      </c>
      <c r="B9" s="19" t="s">
        <v>53</v>
      </c>
      <c r="C9" s="19" t="s">
        <v>19</v>
      </c>
      <c r="D9" s="20">
        <v>33</v>
      </c>
      <c r="E9" s="20"/>
      <c r="F9" s="75">
        <f>[1]МКД!$H$170</f>
        <v>60</v>
      </c>
      <c r="G9" s="19">
        <f t="shared" si="0"/>
        <v>949.5</v>
      </c>
      <c r="H9" s="19">
        <v>364.34</v>
      </c>
      <c r="I9" s="19">
        <v>585.16</v>
      </c>
      <c r="J9" s="19">
        <f t="shared" si="1"/>
        <v>930.25</v>
      </c>
      <c r="K9" s="19">
        <v>301.60000000000002</v>
      </c>
      <c r="L9" s="19">
        <v>628.65</v>
      </c>
      <c r="M9" s="76">
        <f t="shared" si="2"/>
        <v>832.45</v>
      </c>
      <c r="N9" s="76">
        <v>268.63</v>
      </c>
      <c r="O9" s="76">
        <v>563.82000000000005</v>
      </c>
      <c r="P9" s="19">
        <f t="shared" si="3"/>
        <v>893.22</v>
      </c>
      <c r="Q9" s="19">
        <v>315.58</v>
      </c>
      <c r="R9" s="19">
        <v>577.64</v>
      </c>
      <c r="S9" s="37">
        <f t="shared" si="4"/>
        <v>14.887</v>
      </c>
    </row>
    <row r="10" spans="1:19" ht="15">
      <c r="A10" s="18">
        <v>4</v>
      </c>
      <c r="B10" s="19" t="s">
        <v>53</v>
      </c>
      <c r="C10" s="19" t="s">
        <v>58</v>
      </c>
      <c r="D10" s="20">
        <v>7</v>
      </c>
      <c r="E10" s="20"/>
      <c r="F10" s="75">
        <f>[1]МКД!$H$180</f>
        <v>70</v>
      </c>
      <c r="G10" s="19">
        <f t="shared" si="0"/>
        <v>795.05000000000007</v>
      </c>
      <c r="H10" s="19">
        <v>563.33000000000004</v>
      </c>
      <c r="I10" s="19">
        <v>231.72</v>
      </c>
      <c r="J10" s="19">
        <f t="shared" si="1"/>
        <v>795.05000000000007</v>
      </c>
      <c r="K10" s="19">
        <v>563.33000000000004</v>
      </c>
      <c r="L10" s="19">
        <v>231.72</v>
      </c>
      <c r="M10" s="76">
        <f t="shared" si="2"/>
        <v>795.05000000000007</v>
      </c>
      <c r="N10" s="76">
        <v>563.33000000000004</v>
      </c>
      <c r="O10" s="76">
        <v>231.72</v>
      </c>
      <c r="P10" s="19">
        <f t="shared" si="3"/>
        <v>795.05000000000007</v>
      </c>
      <c r="Q10" s="19">
        <v>563.33000000000004</v>
      </c>
      <c r="R10" s="19">
        <v>231.72</v>
      </c>
      <c r="S10" s="37">
        <f t="shared" si="4"/>
        <v>11.357857142857144</v>
      </c>
    </row>
    <row r="11" spans="1:19" ht="15">
      <c r="A11" s="18">
        <v>5</v>
      </c>
      <c r="B11" s="19" t="s">
        <v>53</v>
      </c>
      <c r="C11" s="19" t="s">
        <v>55</v>
      </c>
      <c r="D11" s="20">
        <v>11</v>
      </c>
      <c r="E11" s="20"/>
      <c r="F11" s="75">
        <f>[1]МКД!$H$174</f>
        <v>48</v>
      </c>
      <c r="G11" s="19">
        <f t="shared" si="0"/>
        <v>682.68999999999994</v>
      </c>
      <c r="H11" s="19">
        <v>219.17</v>
      </c>
      <c r="I11" s="19">
        <v>463.52</v>
      </c>
      <c r="J11" s="19">
        <f t="shared" si="1"/>
        <v>735.67</v>
      </c>
      <c r="K11" s="19">
        <v>193.52</v>
      </c>
      <c r="L11" s="19">
        <v>542.15</v>
      </c>
      <c r="M11" s="76">
        <f t="shared" si="2"/>
        <v>752.29</v>
      </c>
      <c r="N11" s="76">
        <v>161.82</v>
      </c>
      <c r="O11" s="76">
        <v>590.47</v>
      </c>
      <c r="P11" s="19">
        <f t="shared" si="3"/>
        <v>761.80000000000007</v>
      </c>
      <c r="Q11" s="19">
        <v>184.33</v>
      </c>
      <c r="R11" s="19">
        <v>577.47</v>
      </c>
      <c r="S11" s="37">
        <f t="shared" si="4"/>
        <v>15.870833333333335</v>
      </c>
    </row>
    <row r="12" spans="1:19" ht="15">
      <c r="A12" s="18">
        <v>6</v>
      </c>
      <c r="B12" s="19" t="s">
        <v>53</v>
      </c>
      <c r="C12" s="19" t="s">
        <v>56</v>
      </c>
      <c r="D12" s="20">
        <v>21</v>
      </c>
      <c r="E12" s="20">
        <v>2</v>
      </c>
      <c r="F12" s="75">
        <f>[1]МКД!$H$177</f>
        <v>35</v>
      </c>
      <c r="G12" s="19">
        <f t="shared" si="0"/>
        <v>842.52</v>
      </c>
      <c r="H12" s="19">
        <v>542.63</v>
      </c>
      <c r="I12" s="19">
        <v>299.89</v>
      </c>
      <c r="J12" s="19">
        <f t="shared" si="1"/>
        <v>710.36</v>
      </c>
      <c r="K12" s="19">
        <v>472.79</v>
      </c>
      <c r="L12" s="19">
        <v>237.57</v>
      </c>
      <c r="M12" s="76">
        <f t="shared" si="2"/>
        <v>729.18000000000006</v>
      </c>
      <c r="N12" s="76">
        <v>428.14</v>
      </c>
      <c r="O12" s="76">
        <v>301.04000000000002</v>
      </c>
      <c r="P12" s="19">
        <f t="shared" si="3"/>
        <v>729.18000000000006</v>
      </c>
      <c r="Q12" s="19">
        <v>428.14</v>
      </c>
      <c r="R12" s="19">
        <v>301.04000000000002</v>
      </c>
      <c r="S12" s="37">
        <f t="shared" si="4"/>
        <v>20.833714285714287</v>
      </c>
    </row>
    <row r="13" spans="1:19" ht="15">
      <c r="A13" s="18">
        <v>7</v>
      </c>
      <c r="B13" s="19" t="s">
        <v>53</v>
      </c>
      <c r="C13" s="19" t="s">
        <v>56</v>
      </c>
      <c r="D13" s="20">
        <v>21</v>
      </c>
      <c r="E13" s="20">
        <v>1</v>
      </c>
      <c r="F13" s="75">
        <f>[1]МКД!$H$176</f>
        <v>35</v>
      </c>
      <c r="G13" s="19">
        <f t="shared" si="0"/>
        <v>489.38</v>
      </c>
      <c r="H13" s="19">
        <v>337.12</v>
      </c>
      <c r="I13" s="19">
        <v>152.26</v>
      </c>
      <c r="J13" s="19">
        <f t="shared" si="1"/>
        <v>401.14</v>
      </c>
      <c r="K13" s="19">
        <v>318.52999999999997</v>
      </c>
      <c r="L13" s="19">
        <v>82.61</v>
      </c>
      <c r="M13" s="76">
        <f t="shared" si="2"/>
        <v>645.65000000000009</v>
      </c>
      <c r="N13" s="76">
        <v>351.98</v>
      </c>
      <c r="O13" s="76">
        <v>293.67</v>
      </c>
      <c r="P13" s="19">
        <f t="shared" si="3"/>
        <v>712.26</v>
      </c>
      <c r="Q13" s="19">
        <v>418.59</v>
      </c>
      <c r="R13" s="19">
        <v>293.67</v>
      </c>
      <c r="S13" s="37">
        <f t="shared" si="4"/>
        <v>20.350285714285715</v>
      </c>
    </row>
    <row r="14" spans="1:19" ht="15">
      <c r="A14" s="18">
        <v>8</v>
      </c>
      <c r="B14" s="19" t="s">
        <v>53</v>
      </c>
      <c r="C14" s="19" t="s">
        <v>19</v>
      </c>
      <c r="D14" s="20">
        <v>41</v>
      </c>
      <c r="E14" s="20" t="s">
        <v>20</v>
      </c>
      <c r="F14" s="75">
        <f>[1]МКД!$H$173</f>
        <v>46</v>
      </c>
      <c r="G14" s="19">
        <f t="shared" si="0"/>
        <v>762.08</v>
      </c>
      <c r="H14" s="19">
        <v>312.22000000000003</v>
      </c>
      <c r="I14" s="19">
        <v>449.86</v>
      </c>
      <c r="J14" s="19">
        <f t="shared" si="1"/>
        <v>729.3</v>
      </c>
      <c r="K14" s="19">
        <v>286.92</v>
      </c>
      <c r="L14" s="19">
        <v>442.38</v>
      </c>
      <c r="M14" s="76">
        <f t="shared" si="2"/>
        <v>870.19</v>
      </c>
      <c r="N14" s="76">
        <v>297.70999999999998</v>
      </c>
      <c r="O14" s="76">
        <v>572.48</v>
      </c>
      <c r="P14" s="19">
        <f t="shared" si="3"/>
        <v>634.22</v>
      </c>
      <c r="Q14" s="19">
        <v>311.62</v>
      </c>
      <c r="R14" s="19">
        <v>322.60000000000002</v>
      </c>
      <c r="S14" s="37">
        <f t="shared" si="4"/>
        <v>13.787391304347826</v>
      </c>
    </row>
    <row r="15" spans="1:19" ht="15">
      <c r="A15" s="18">
        <v>9</v>
      </c>
      <c r="B15" s="19" t="s">
        <v>53</v>
      </c>
      <c r="C15" s="195" t="s">
        <v>19</v>
      </c>
      <c r="D15" s="196">
        <v>20</v>
      </c>
      <c r="E15" s="195"/>
      <c r="F15" s="180">
        <f>[1]МКД!$H$168</f>
        <v>19</v>
      </c>
      <c r="G15" s="19">
        <f t="shared" si="0"/>
        <v>426.98</v>
      </c>
      <c r="H15" s="19">
        <v>132.5</v>
      </c>
      <c r="I15" s="19">
        <v>294.48</v>
      </c>
      <c r="J15" s="19">
        <f t="shared" si="1"/>
        <v>542.30999999999995</v>
      </c>
      <c r="K15" s="19">
        <v>193.2</v>
      </c>
      <c r="L15" s="19">
        <v>349.11</v>
      </c>
      <c r="M15" s="76">
        <f t="shared" si="2"/>
        <v>519.62</v>
      </c>
      <c r="N15" s="76">
        <v>153.81</v>
      </c>
      <c r="O15" s="76">
        <v>365.81</v>
      </c>
      <c r="P15" s="19">
        <f t="shared" si="3"/>
        <v>513.79999999999995</v>
      </c>
      <c r="Q15" s="19">
        <v>187.75</v>
      </c>
      <c r="R15" s="19">
        <v>326.05</v>
      </c>
      <c r="S15" s="197">
        <f t="shared" si="4"/>
        <v>27.042105263157893</v>
      </c>
    </row>
    <row r="16" spans="1:19" ht="15">
      <c r="A16" s="18">
        <v>10</v>
      </c>
      <c r="B16" s="19" t="s">
        <v>53</v>
      </c>
      <c r="C16" s="19" t="s">
        <v>56</v>
      </c>
      <c r="D16" s="20">
        <v>21</v>
      </c>
      <c r="E16" s="20">
        <v>3</v>
      </c>
      <c r="F16" s="75">
        <f>[1]МКД!$H$178</f>
        <v>34</v>
      </c>
      <c r="G16" s="19">
        <f t="shared" si="0"/>
        <v>315.51</v>
      </c>
      <c r="H16" s="19">
        <v>180.24</v>
      </c>
      <c r="I16" s="19">
        <v>135.27000000000001</v>
      </c>
      <c r="J16" s="19">
        <f t="shared" si="1"/>
        <v>357.90999999999997</v>
      </c>
      <c r="K16" s="19">
        <v>193.49</v>
      </c>
      <c r="L16" s="19">
        <v>164.42</v>
      </c>
      <c r="M16" s="76">
        <f t="shared" si="2"/>
        <v>436.77</v>
      </c>
      <c r="N16" s="76">
        <v>218.28</v>
      </c>
      <c r="O16" s="76">
        <v>218.49</v>
      </c>
      <c r="P16" s="19">
        <f t="shared" si="3"/>
        <v>484.29</v>
      </c>
      <c r="Q16" s="19">
        <v>265.8</v>
      </c>
      <c r="R16" s="19">
        <v>218.49</v>
      </c>
      <c r="S16" s="37">
        <f t="shared" si="4"/>
        <v>14.243823529411765</v>
      </c>
    </row>
    <row r="17" spans="1:20" ht="15">
      <c r="A17" s="18">
        <v>11</v>
      </c>
      <c r="B17" s="19" t="s">
        <v>53</v>
      </c>
      <c r="C17" s="19" t="s">
        <v>19</v>
      </c>
      <c r="D17" s="20">
        <v>5</v>
      </c>
      <c r="E17" s="19"/>
      <c r="F17" s="75">
        <f>[1]МКД!$H$167</f>
        <v>58</v>
      </c>
      <c r="G17" s="19">
        <f t="shared" si="0"/>
        <v>514.66999999999996</v>
      </c>
      <c r="H17" s="19">
        <v>204.41</v>
      </c>
      <c r="I17" s="19">
        <v>310.26</v>
      </c>
      <c r="J17" s="19">
        <f t="shared" si="1"/>
        <v>548.53</v>
      </c>
      <c r="K17" s="19">
        <v>236.94</v>
      </c>
      <c r="L17" s="19">
        <v>311.58999999999997</v>
      </c>
      <c r="M17" s="76">
        <f t="shared" si="2"/>
        <v>474.08</v>
      </c>
      <c r="N17" s="76">
        <v>196.5</v>
      </c>
      <c r="O17" s="76">
        <v>277.58</v>
      </c>
      <c r="P17" s="19">
        <f t="shared" si="3"/>
        <v>473.17</v>
      </c>
      <c r="Q17" s="19">
        <v>259.11</v>
      </c>
      <c r="R17" s="19">
        <v>214.06</v>
      </c>
      <c r="S17" s="37">
        <f t="shared" si="4"/>
        <v>8.1581034482758632</v>
      </c>
    </row>
    <row r="18" spans="1:20" ht="15" customHeight="1">
      <c r="A18" s="18">
        <v>12</v>
      </c>
      <c r="B18" s="19" t="s">
        <v>53</v>
      </c>
      <c r="C18" s="19" t="s">
        <v>57</v>
      </c>
      <c r="D18" s="20">
        <v>10</v>
      </c>
      <c r="E18" s="20"/>
      <c r="F18" s="75">
        <f>[1]МКД!$H$175</f>
        <v>149</v>
      </c>
      <c r="G18" s="19">
        <f t="shared" si="0"/>
        <v>717.44</v>
      </c>
      <c r="H18" s="19">
        <v>399.41</v>
      </c>
      <c r="I18" s="19">
        <v>318.02999999999997</v>
      </c>
      <c r="J18" s="19">
        <f t="shared" si="1"/>
        <v>417.11</v>
      </c>
      <c r="K18" s="19">
        <v>181.23</v>
      </c>
      <c r="L18" s="19">
        <v>235.88</v>
      </c>
      <c r="M18" s="76">
        <f t="shared" si="2"/>
        <v>471.85</v>
      </c>
      <c r="N18" s="76">
        <v>192.17</v>
      </c>
      <c r="O18" s="76">
        <v>279.68</v>
      </c>
      <c r="P18" s="19">
        <f t="shared" si="3"/>
        <v>471.85</v>
      </c>
      <c r="Q18" s="19">
        <v>192.17</v>
      </c>
      <c r="R18" s="19">
        <v>279.68</v>
      </c>
      <c r="S18" s="37">
        <f t="shared" si="4"/>
        <v>3.1667785234899331</v>
      </c>
    </row>
    <row r="19" spans="1:20" ht="15">
      <c r="A19" s="18">
        <v>13</v>
      </c>
      <c r="B19" s="19" t="s">
        <v>53</v>
      </c>
      <c r="C19" s="19" t="s">
        <v>19</v>
      </c>
      <c r="D19" s="20">
        <v>41</v>
      </c>
      <c r="E19" s="20"/>
      <c r="F19" s="75">
        <f>[1]МКД!$H$279</f>
        <v>48</v>
      </c>
      <c r="G19" s="19"/>
      <c r="H19" s="19"/>
      <c r="I19" s="19"/>
      <c r="J19" s="19">
        <f t="shared" si="1"/>
        <v>310.85000000000002</v>
      </c>
      <c r="K19" s="19">
        <v>116.81</v>
      </c>
      <c r="L19" s="19">
        <v>194.04</v>
      </c>
      <c r="M19" s="76">
        <f t="shared" si="2"/>
        <v>343.86</v>
      </c>
      <c r="N19" s="76">
        <v>153.08000000000001</v>
      </c>
      <c r="O19" s="76">
        <v>190.78</v>
      </c>
      <c r="P19" s="19">
        <f t="shared" si="3"/>
        <v>340.28999999999996</v>
      </c>
      <c r="Q19" s="19">
        <v>175.15</v>
      </c>
      <c r="R19" s="19">
        <v>165.14</v>
      </c>
      <c r="S19" s="37">
        <f t="shared" si="4"/>
        <v>7.0893749999999995</v>
      </c>
    </row>
    <row r="20" spans="1:20" ht="15" customHeight="1">
      <c r="A20" s="18">
        <v>14</v>
      </c>
      <c r="B20" s="19" t="s">
        <v>53</v>
      </c>
      <c r="C20" s="19" t="s">
        <v>19</v>
      </c>
      <c r="D20" s="20">
        <v>35</v>
      </c>
      <c r="E20" s="20" t="s">
        <v>21</v>
      </c>
      <c r="F20" s="75">
        <f>[1]МКД!$H$172</f>
        <v>99</v>
      </c>
      <c r="G20" s="19">
        <f>I20+H20</f>
        <v>132.69999999999999</v>
      </c>
      <c r="H20" s="19">
        <v>88.17</v>
      </c>
      <c r="I20" s="19">
        <v>44.53</v>
      </c>
      <c r="J20" s="19">
        <f t="shared" si="1"/>
        <v>113.91</v>
      </c>
      <c r="K20" s="19">
        <v>69.38</v>
      </c>
      <c r="L20" s="19">
        <v>44.53</v>
      </c>
      <c r="M20" s="76">
        <f t="shared" si="2"/>
        <v>112.33</v>
      </c>
      <c r="N20" s="76">
        <v>67.8</v>
      </c>
      <c r="O20" s="76">
        <v>44.53</v>
      </c>
      <c r="P20" s="19">
        <f t="shared" si="3"/>
        <v>112.33</v>
      </c>
      <c r="Q20" s="19">
        <v>67.8</v>
      </c>
      <c r="R20" s="19">
        <v>44.53</v>
      </c>
      <c r="S20" s="37">
        <f t="shared" si="4"/>
        <v>1.1346464646464647</v>
      </c>
    </row>
    <row r="21" spans="1:20" ht="15">
      <c r="A21" s="18">
        <v>15</v>
      </c>
      <c r="B21" s="19" t="s">
        <v>53</v>
      </c>
      <c r="C21" s="19" t="s">
        <v>19</v>
      </c>
      <c r="D21" s="20">
        <v>33</v>
      </c>
      <c r="E21" s="20" t="s">
        <v>21</v>
      </c>
      <c r="F21" s="75">
        <f>[1]МКД!$H$171</f>
        <v>79</v>
      </c>
      <c r="G21" s="19">
        <f>I21+H21</f>
        <v>60.11</v>
      </c>
      <c r="H21" s="19">
        <v>25.05</v>
      </c>
      <c r="I21" s="19">
        <v>35.06</v>
      </c>
      <c r="J21" s="19">
        <f t="shared" si="1"/>
        <v>60.11</v>
      </c>
      <c r="K21" s="19">
        <v>25.05</v>
      </c>
      <c r="L21" s="19">
        <v>35.06</v>
      </c>
      <c r="M21" s="76">
        <f t="shared" si="2"/>
        <v>59.83</v>
      </c>
      <c r="N21" s="76">
        <v>24.77</v>
      </c>
      <c r="O21" s="76">
        <v>35.06</v>
      </c>
      <c r="P21" s="19">
        <f t="shared" si="3"/>
        <v>59.83</v>
      </c>
      <c r="Q21" s="19">
        <v>24.77</v>
      </c>
      <c r="R21" s="19">
        <v>35.06</v>
      </c>
      <c r="S21" s="37">
        <f t="shared" si="4"/>
        <v>0.75734177215189868</v>
      </c>
    </row>
    <row r="22" spans="1:20" s="145" customFormat="1" ht="15">
      <c r="A22" s="18">
        <v>16</v>
      </c>
      <c r="B22" s="144" t="s">
        <v>53</v>
      </c>
      <c r="C22" s="144" t="s">
        <v>59</v>
      </c>
      <c r="D22" s="18">
        <v>1</v>
      </c>
      <c r="E22" s="18"/>
      <c r="F22" s="75">
        <f>[1]МКД!$H$181</f>
        <v>24</v>
      </c>
      <c r="G22" s="146">
        <f>I22+H22</f>
        <v>2.72</v>
      </c>
      <c r="H22" s="146">
        <v>0</v>
      </c>
      <c r="I22" s="146">
        <v>2.72</v>
      </c>
      <c r="J22" s="146">
        <f t="shared" si="1"/>
        <v>0</v>
      </c>
      <c r="K22" s="146">
        <v>0</v>
      </c>
      <c r="L22" s="146">
        <v>0</v>
      </c>
      <c r="M22" s="5">
        <f t="shared" si="2"/>
        <v>0</v>
      </c>
      <c r="N22" s="5">
        <v>0</v>
      </c>
      <c r="O22" s="5">
        <v>0</v>
      </c>
      <c r="P22" s="146">
        <f t="shared" si="3"/>
        <v>0</v>
      </c>
      <c r="Q22" s="146">
        <v>0</v>
      </c>
      <c r="R22" s="146">
        <v>0</v>
      </c>
      <c r="S22" s="37">
        <f t="shared" si="4"/>
        <v>0</v>
      </c>
    </row>
    <row r="23" spans="1:20" s="96" customFormat="1">
      <c r="A23" s="100"/>
      <c r="B23" s="94" t="s">
        <v>60</v>
      </c>
      <c r="C23" s="94"/>
      <c r="D23" s="101"/>
      <c r="E23" s="101"/>
      <c r="F23" s="101">
        <f>SUM(F7:F22)</f>
        <v>934</v>
      </c>
      <c r="G23" s="94">
        <f>I23+H23</f>
        <v>9768.4900000000016</v>
      </c>
      <c r="H23" s="94">
        <f t="shared" ref="H23:R23" si="5">SUM(H7:H22)</f>
        <v>4587.01</v>
      </c>
      <c r="I23" s="94">
        <f t="shared" si="5"/>
        <v>5181.4800000000005</v>
      </c>
      <c r="J23" s="94">
        <f t="shared" si="5"/>
        <v>9584.6000000000022</v>
      </c>
      <c r="K23" s="94">
        <f t="shared" si="5"/>
        <v>4351.04</v>
      </c>
      <c r="L23" s="94">
        <f t="shared" si="5"/>
        <v>5233.5600000000004</v>
      </c>
      <c r="M23" s="102">
        <f>SUM(M7:M22)</f>
        <v>9181.090000000002</v>
      </c>
      <c r="N23" s="102">
        <f>SUM(N7:N22)</f>
        <v>4293.8000000000011</v>
      </c>
      <c r="O23" s="102">
        <f>SUM(O7:O22)</f>
        <v>4887.29</v>
      </c>
      <c r="P23" s="94">
        <f t="shared" si="5"/>
        <v>9209.4200000000019</v>
      </c>
      <c r="Q23" s="94">
        <f t="shared" si="5"/>
        <v>4735.12</v>
      </c>
      <c r="R23" s="94">
        <f t="shared" si="5"/>
        <v>4474.3</v>
      </c>
      <c r="S23" s="94"/>
      <c r="T23" s="96">
        <f>P23/A22</f>
        <v>575.58875000000012</v>
      </c>
    </row>
    <row r="25" spans="1:20">
      <c r="B25" s="96" t="s">
        <v>112</v>
      </c>
    </row>
    <row r="26" spans="1:20" ht="44.25" customHeight="1">
      <c r="B26" s="225" t="s">
        <v>115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</row>
  </sheetData>
  <sortState ref="C7:S22">
    <sortCondition descending="1" ref="P7:P22"/>
  </sortState>
  <mergeCells count="23">
    <mergeCell ref="A4:A6"/>
    <mergeCell ref="B4:B6"/>
    <mergeCell ref="C4:E4"/>
    <mergeCell ref="G4:I4"/>
    <mergeCell ref="J4:L4"/>
    <mergeCell ref="C5:C6"/>
    <mergeCell ref="D5:D6"/>
    <mergeCell ref="E5:E6"/>
    <mergeCell ref="G5:G6"/>
    <mergeCell ref="H5:I5"/>
    <mergeCell ref="J5:J6"/>
    <mergeCell ref="K5:L5"/>
    <mergeCell ref="F4:F6"/>
    <mergeCell ref="S4:S6"/>
    <mergeCell ref="B1:S1"/>
    <mergeCell ref="B2:S2"/>
    <mergeCell ref="B26:T26"/>
    <mergeCell ref="P4:R4"/>
    <mergeCell ref="P5:P6"/>
    <mergeCell ref="M4:O4"/>
    <mergeCell ref="M5:M6"/>
    <mergeCell ref="N5:O5"/>
    <mergeCell ref="Q5:R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Normal="100" workbookViewId="0">
      <selection activeCell="F13" sqref="F13"/>
    </sheetView>
  </sheetViews>
  <sheetFormatPr defaultRowHeight="12.75" outlineLevelCol="1"/>
  <cols>
    <col min="1" max="1" width="5" style="15" customWidth="1"/>
    <col min="2" max="2" width="16.140625" style="15" customWidth="1"/>
    <col min="3" max="3" width="13.85546875" style="15" customWidth="1"/>
    <col min="4" max="4" width="8" style="15" customWidth="1"/>
    <col min="5" max="5" width="7.85546875" style="15" customWidth="1"/>
    <col min="6" max="6" width="10.7109375" style="15" customWidth="1"/>
    <col min="7" max="7" width="9.140625" style="15"/>
    <col min="8" max="8" width="10" style="15" customWidth="1"/>
    <col min="9" max="9" width="10.140625" style="15" customWidth="1"/>
    <col min="10" max="10" width="0" style="15" hidden="1" customWidth="1" outlineLevel="1"/>
    <col min="11" max="11" width="9.85546875" style="15" hidden="1" customWidth="1" outlineLevel="1"/>
    <col min="12" max="15" width="10.140625" style="15" hidden="1" customWidth="1" outlineLevel="1"/>
    <col min="16" max="16" width="9.140625" style="15" collapsed="1"/>
    <col min="17" max="17" width="9.85546875" style="15" customWidth="1"/>
    <col min="18" max="18" width="10.28515625" style="15" customWidth="1"/>
    <col min="19" max="261" width="9.140625" style="15"/>
    <col min="262" max="262" width="16.140625" style="15" customWidth="1"/>
    <col min="263" max="263" width="13.85546875" style="15" customWidth="1"/>
    <col min="264" max="264" width="8" style="15" customWidth="1"/>
    <col min="265" max="265" width="7.85546875" style="15" customWidth="1"/>
    <col min="266" max="266" width="9.140625" style="15"/>
    <col min="267" max="267" width="10" style="15" customWidth="1"/>
    <col min="268" max="268" width="10.140625" style="15" customWidth="1"/>
    <col min="269" max="269" width="9.140625" style="15"/>
    <col min="270" max="270" width="9.85546875" style="15" customWidth="1"/>
    <col min="271" max="271" width="10.140625" style="15" customWidth="1"/>
    <col min="272" max="272" width="9.140625" style="15"/>
    <col min="273" max="273" width="9.85546875" style="15" customWidth="1"/>
    <col min="274" max="274" width="10.28515625" style="15" customWidth="1"/>
    <col min="275" max="517" width="9.140625" style="15"/>
    <col min="518" max="518" width="16.140625" style="15" customWidth="1"/>
    <col min="519" max="519" width="13.85546875" style="15" customWidth="1"/>
    <col min="520" max="520" width="8" style="15" customWidth="1"/>
    <col min="521" max="521" width="7.85546875" style="15" customWidth="1"/>
    <col min="522" max="522" width="9.140625" style="15"/>
    <col min="523" max="523" width="10" style="15" customWidth="1"/>
    <col min="524" max="524" width="10.140625" style="15" customWidth="1"/>
    <col min="525" max="525" width="9.140625" style="15"/>
    <col min="526" max="526" width="9.85546875" style="15" customWidth="1"/>
    <col min="527" max="527" width="10.140625" style="15" customWidth="1"/>
    <col min="528" max="528" width="9.140625" style="15"/>
    <col min="529" max="529" width="9.85546875" style="15" customWidth="1"/>
    <col min="530" max="530" width="10.28515625" style="15" customWidth="1"/>
    <col min="531" max="773" width="9.140625" style="15"/>
    <col min="774" max="774" width="16.140625" style="15" customWidth="1"/>
    <col min="775" max="775" width="13.85546875" style="15" customWidth="1"/>
    <col min="776" max="776" width="8" style="15" customWidth="1"/>
    <col min="777" max="777" width="7.85546875" style="15" customWidth="1"/>
    <col min="778" max="778" width="9.140625" style="15"/>
    <col min="779" max="779" width="10" style="15" customWidth="1"/>
    <col min="780" max="780" width="10.140625" style="15" customWidth="1"/>
    <col min="781" max="781" width="9.140625" style="15"/>
    <col min="782" max="782" width="9.85546875" style="15" customWidth="1"/>
    <col min="783" max="783" width="10.140625" style="15" customWidth="1"/>
    <col min="784" max="784" width="9.140625" style="15"/>
    <col min="785" max="785" width="9.85546875" style="15" customWidth="1"/>
    <col min="786" max="786" width="10.28515625" style="15" customWidth="1"/>
    <col min="787" max="1029" width="9.140625" style="15"/>
    <col min="1030" max="1030" width="16.140625" style="15" customWidth="1"/>
    <col min="1031" max="1031" width="13.85546875" style="15" customWidth="1"/>
    <col min="1032" max="1032" width="8" style="15" customWidth="1"/>
    <col min="1033" max="1033" width="7.85546875" style="15" customWidth="1"/>
    <col min="1034" max="1034" width="9.140625" style="15"/>
    <col min="1035" max="1035" width="10" style="15" customWidth="1"/>
    <col min="1036" max="1036" width="10.140625" style="15" customWidth="1"/>
    <col min="1037" max="1037" width="9.140625" style="15"/>
    <col min="1038" max="1038" width="9.85546875" style="15" customWidth="1"/>
    <col min="1039" max="1039" width="10.140625" style="15" customWidth="1"/>
    <col min="1040" max="1040" width="9.140625" style="15"/>
    <col min="1041" max="1041" width="9.85546875" style="15" customWidth="1"/>
    <col min="1042" max="1042" width="10.28515625" style="15" customWidth="1"/>
    <col min="1043" max="1285" width="9.140625" style="15"/>
    <col min="1286" max="1286" width="16.140625" style="15" customWidth="1"/>
    <col min="1287" max="1287" width="13.85546875" style="15" customWidth="1"/>
    <col min="1288" max="1288" width="8" style="15" customWidth="1"/>
    <col min="1289" max="1289" width="7.85546875" style="15" customWidth="1"/>
    <col min="1290" max="1290" width="9.140625" style="15"/>
    <col min="1291" max="1291" width="10" style="15" customWidth="1"/>
    <col min="1292" max="1292" width="10.140625" style="15" customWidth="1"/>
    <col min="1293" max="1293" width="9.140625" style="15"/>
    <col min="1294" max="1294" width="9.85546875" style="15" customWidth="1"/>
    <col min="1295" max="1295" width="10.140625" style="15" customWidth="1"/>
    <col min="1296" max="1296" width="9.140625" style="15"/>
    <col min="1297" max="1297" width="9.85546875" style="15" customWidth="1"/>
    <col min="1298" max="1298" width="10.28515625" style="15" customWidth="1"/>
    <col min="1299" max="1541" width="9.140625" style="15"/>
    <col min="1542" max="1542" width="16.140625" style="15" customWidth="1"/>
    <col min="1543" max="1543" width="13.85546875" style="15" customWidth="1"/>
    <col min="1544" max="1544" width="8" style="15" customWidth="1"/>
    <col min="1545" max="1545" width="7.85546875" style="15" customWidth="1"/>
    <col min="1546" max="1546" width="9.140625" style="15"/>
    <col min="1547" max="1547" width="10" style="15" customWidth="1"/>
    <col min="1548" max="1548" width="10.140625" style="15" customWidth="1"/>
    <col min="1549" max="1549" width="9.140625" style="15"/>
    <col min="1550" max="1550" width="9.85546875" style="15" customWidth="1"/>
    <col min="1551" max="1551" width="10.140625" style="15" customWidth="1"/>
    <col min="1552" max="1552" width="9.140625" style="15"/>
    <col min="1553" max="1553" width="9.85546875" style="15" customWidth="1"/>
    <col min="1554" max="1554" width="10.28515625" style="15" customWidth="1"/>
    <col min="1555" max="1797" width="9.140625" style="15"/>
    <col min="1798" max="1798" width="16.140625" style="15" customWidth="1"/>
    <col min="1799" max="1799" width="13.85546875" style="15" customWidth="1"/>
    <col min="1800" max="1800" width="8" style="15" customWidth="1"/>
    <col min="1801" max="1801" width="7.85546875" style="15" customWidth="1"/>
    <col min="1802" max="1802" width="9.140625" style="15"/>
    <col min="1803" max="1803" width="10" style="15" customWidth="1"/>
    <col min="1804" max="1804" width="10.140625" style="15" customWidth="1"/>
    <col min="1805" max="1805" width="9.140625" style="15"/>
    <col min="1806" max="1806" width="9.85546875" style="15" customWidth="1"/>
    <col min="1807" max="1807" width="10.140625" style="15" customWidth="1"/>
    <col min="1808" max="1808" width="9.140625" style="15"/>
    <col min="1809" max="1809" width="9.85546875" style="15" customWidth="1"/>
    <col min="1810" max="1810" width="10.28515625" style="15" customWidth="1"/>
    <col min="1811" max="2053" width="9.140625" style="15"/>
    <col min="2054" max="2054" width="16.140625" style="15" customWidth="1"/>
    <col min="2055" max="2055" width="13.85546875" style="15" customWidth="1"/>
    <col min="2056" max="2056" width="8" style="15" customWidth="1"/>
    <col min="2057" max="2057" width="7.85546875" style="15" customWidth="1"/>
    <col min="2058" max="2058" width="9.140625" style="15"/>
    <col min="2059" max="2059" width="10" style="15" customWidth="1"/>
    <col min="2060" max="2060" width="10.140625" style="15" customWidth="1"/>
    <col min="2061" max="2061" width="9.140625" style="15"/>
    <col min="2062" max="2062" width="9.85546875" style="15" customWidth="1"/>
    <col min="2063" max="2063" width="10.140625" style="15" customWidth="1"/>
    <col min="2064" max="2064" width="9.140625" style="15"/>
    <col min="2065" max="2065" width="9.85546875" style="15" customWidth="1"/>
    <col min="2066" max="2066" width="10.28515625" style="15" customWidth="1"/>
    <col min="2067" max="2309" width="9.140625" style="15"/>
    <col min="2310" max="2310" width="16.140625" style="15" customWidth="1"/>
    <col min="2311" max="2311" width="13.85546875" style="15" customWidth="1"/>
    <col min="2312" max="2312" width="8" style="15" customWidth="1"/>
    <col min="2313" max="2313" width="7.85546875" style="15" customWidth="1"/>
    <col min="2314" max="2314" width="9.140625" style="15"/>
    <col min="2315" max="2315" width="10" style="15" customWidth="1"/>
    <col min="2316" max="2316" width="10.140625" style="15" customWidth="1"/>
    <col min="2317" max="2317" width="9.140625" style="15"/>
    <col min="2318" max="2318" width="9.85546875" style="15" customWidth="1"/>
    <col min="2319" max="2319" width="10.140625" style="15" customWidth="1"/>
    <col min="2320" max="2320" width="9.140625" style="15"/>
    <col min="2321" max="2321" width="9.85546875" style="15" customWidth="1"/>
    <col min="2322" max="2322" width="10.28515625" style="15" customWidth="1"/>
    <col min="2323" max="2565" width="9.140625" style="15"/>
    <col min="2566" max="2566" width="16.140625" style="15" customWidth="1"/>
    <col min="2567" max="2567" width="13.85546875" style="15" customWidth="1"/>
    <col min="2568" max="2568" width="8" style="15" customWidth="1"/>
    <col min="2569" max="2569" width="7.85546875" style="15" customWidth="1"/>
    <col min="2570" max="2570" width="9.140625" style="15"/>
    <col min="2571" max="2571" width="10" style="15" customWidth="1"/>
    <col min="2572" max="2572" width="10.140625" style="15" customWidth="1"/>
    <col min="2573" max="2573" width="9.140625" style="15"/>
    <col min="2574" max="2574" width="9.85546875" style="15" customWidth="1"/>
    <col min="2575" max="2575" width="10.140625" style="15" customWidth="1"/>
    <col min="2576" max="2576" width="9.140625" style="15"/>
    <col min="2577" max="2577" width="9.85546875" style="15" customWidth="1"/>
    <col min="2578" max="2578" width="10.28515625" style="15" customWidth="1"/>
    <col min="2579" max="2821" width="9.140625" style="15"/>
    <col min="2822" max="2822" width="16.140625" style="15" customWidth="1"/>
    <col min="2823" max="2823" width="13.85546875" style="15" customWidth="1"/>
    <col min="2824" max="2824" width="8" style="15" customWidth="1"/>
    <col min="2825" max="2825" width="7.85546875" style="15" customWidth="1"/>
    <col min="2826" max="2826" width="9.140625" style="15"/>
    <col min="2827" max="2827" width="10" style="15" customWidth="1"/>
    <col min="2828" max="2828" width="10.140625" style="15" customWidth="1"/>
    <col min="2829" max="2829" width="9.140625" style="15"/>
    <col min="2830" max="2830" width="9.85546875" style="15" customWidth="1"/>
    <col min="2831" max="2831" width="10.140625" style="15" customWidth="1"/>
    <col min="2832" max="2832" width="9.140625" style="15"/>
    <col min="2833" max="2833" width="9.85546875" style="15" customWidth="1"/>
    <col min="2834" max="2834" width="10.28515625" style="15" customWidth="1"/>
    <col min="2835" max="3077" width="9.140625" style="15"/>
    <col min="3078" max="3078" width="16.140625" style="15" customWidth="1"/>
    <col min="3079" max="3079" width="13.85546875" style="15" customWidth="1"/>
    <col min="3080" max="3080" width="8" style="15" customWidth="1"/>
    <col min="3081" max="3081" width="7.85546875" style="15" customWidth="1"/>
    <col min="3082" max="3082" width="9.140625" style="15"/>
    <col min="3083" max="3083" width="10" style="15" customWidth="1"/>
    <col min="3084" max="3084" width="10.140625" style="15" customWidth="1"/>
    <col min="3085" max="3085" width="9.140625" style="15"/>
    <col min="3086" max="3086" width="9.85546875" style="15" customWidth="1"/>
    <col min="3087" max="3087" width="10.140625" style="15" customWidth="1"/>
    <col min="3088" max="3088" width="9.140625" style="15"/>
    <col min="3089" max="3089" width="9.85546875" style="15" customWidth="1"/>
    <col min="3090" max="3090" width="10.28515625" style="15" customWidth="1"/>
    <col min="3091" max="3333" width="9.140625" style="15"/>
    <col min="3334" max="3334" width="16.140625" style="15" customWidth="1"/>
    <col min="3335" max="3335" width="13.85546875" style="15" customWidth="1"/>
    <col min="3336" max="3336" width="8" style="15" customWidth="1"/>
    <col min="3337" max="3337" width="7.85546875" style="15" customWidth="1"/>
    <col min="3338" max="3338" width="9.140625" style="15"/>
    <col min="3339" max="3339" width="10" style="15" customWidth="1"/>
    <col min="3340" max="3340" width="10.140625" style="15" customWidth="1"/>
    <col min="3341" max="3341" width="9.140625" style="15"/>
    <col min="3342" max="3342" width="9.85546875" style="15" customWidth="1"/>
    <col min="3343" max="3343" width="10.140625" style="15" customWidth="1"/>
    <col min="3344" max="3344" width="9.140625" style="15"/>
    <col min="3345" max="3345" width="9.85546875" style="15" customWidth="1"/>
    <col min="3346" max="3346" width="10.28515625" style="15" customWidth="1"/>
    <col min="3347" max="3589" width="9.140625" style="15"/>
    <col min="3590" max="3590" width="16.140625" style="15" customWidth="1"/>
    <col min="3591" max="3591" width="13.85546875" style="15" customWidth="1"/>
    <col min="3592" max="3592" width="8" style="15" customWidth="1"/>
    <col min="3593" max="3593" width="7.85546875" style="15" customWidth="1"/>
    <col min="3594" max="3594" width="9.140625" style="15"/>
    <col min="3595" max="3595" width="10" style="15" customWidth="1"/>
    <col min="3596" max="3596" width="10.140625" style="15" customWidth="1"/>
    <col min="3597" max="3597" width="9.140625" style="15"/>
    <col min="3598" max="3598" width="9.85546875" style="15" customWidth="1"/>
    <col min="3599" max="3599" width="10.140625" style="15" customWidth="1"/>
    <col min="3600" max="3600" width="9.140625" style="15"/>
    <col min="3601" max="3601" width="9.85546875" style="15" customWidth="1"/>
    <col min="3602" max="3602" width="10.28515625" style="15" customWidth="1"/>
    <col min="3603" max="3845" width="9.140625" style="15"/>
    <col min="3846" max="3846" width="16.140625" style="15" customWidth="1"/>
    <col min="3847" max="3847" width="13.85546875" style="15" customWidth="1"/>
    <col min="3848" max="3848" width="8" style="15" customWidth="1"/>
    <col min="3849" max="3849" width="7.85546875" style="15" customWidth="1"/>
    <col min="3850" max="3850" width="9.140625" style="15"/>
    <col min="3851" max="3851" width="10" style="15" customWidth="1"/>
    <col min="3852" max="3852" width="10.140625" style="15" customWidth="1"/>
    <col min="3853" max="3853" width="9.140625" style="15"/>
    <col min="3854" max="3854" width="9.85546875" style="15" customWidth="1"/>
    <col min="3855" max="3855" width="10.140625" style="15" customWidth="1"/>
    <col min="3856" max="3856" width="9.140625" style="15"/>
    <col min="3857" max="3857" width="9.85546875" style="15" customWidth="1"/>
    <col min="3858" max="3858" width="10.28515625" style="15" customWidth="1"/>
    <col min="3859" max="4101" width="9.140625" style="15"/>
    <col min="4102" max="4102" width="16.140625" style="15" customWidth="1"/>
    <col min="4103" max="4103" width="13.85546875" style="15" customWidth="1"/>
    <col min="4104" max="4104" width="8" style="15" customWidth="1"/>
    <col min="4105" max="4105" width="7.85546875" style="15" customWidth="1"/>
    <col min="4106" max="4106" width="9.140625" style="15"/>
    <col min="4107" max="4107" width="10" style="15" customWidth="1"/>
    <col min="4108" max="4108" width="10.140625" style="15" customWidth="1"/>
    <col min="4109" max="4109" width="9.140625" style="15"/>
    <col min="4110" max="4110" width="9.85546875" style="15" customWidth="1"/>
    <col min="4111" max="4111" width="10.140625" style="15" customWidth="1"/>
    <col min="4112" max="4112" width="9.140625" style="15"/>
    <col min="4113" max="4113" width="9.85546875" style="15" customWidth="1"/>
    <col min="4114" max="4114" width="10.28515625" style="15" customWidth="1"/>
    <col min="4115" max="4357" width="9.140625" style="15"/>
    <col min="4358" max="4358" width="16.140625" style="15" customWidth="1"/>
    <col min="4359" max="4359" width="13.85546875" style="15" customWidth="1"/>
    <col min="4360" max="4360" width="8" style="15" customWidth="1"/>
    <col min="4361" max="4361" width="7.85546875" style="15" customWidth="1"/>
    <col min="4362" max="4362" width="9.140625" style="15"/>
    <col min="4363" max="4363" width="10" style="15" customWidth="1"/>
    <col min="4364" max="4364" width="10.140625" style="15" customWidth="1"/>
    <col min="4365" max="4365" width="9.140625" style="15"/>
    <col min="4366" max="4366" width="9.85546875" style="15" customWidth="1"/>
    <col min="4367" max="4367" width="10.140625" style="15" customWidth="1"/>
    <col min="4368" max="4368" width="9.140625" style="15"/>
    <col min="4369" max="4369" width="9.85546875" style="15" customWidth="1"/>
    <col min="4370" max="4370" width="10.28515625" style="15" customWidth="1"/>
    <col min="4371" max="4613" width="9.140625" style="15"/>
    <col min="4614" max="4614" width="16.140625" style="15" customWidth="1"/>
    <col min="4615" max="4615" width="13.85546875" style="15" customWidth="1"/>
    <col min="4616" max="4616" width="8" style="15" customWidth="1"/>
    <col min="4617" max="4617" width="7.85546875" style="15" customWidth="1"/>
    <col min="4618" max="4618" width="9.140625" style="15"/>
    <col min="4619" max="4619" width="10" style="15" customWidth="1"/>
    <col min="4620" max="4620" width="10.140625" style="15" customWidth="1"/>
    <col min="4621" max="4621" width="9.140625" style="15"/>
    <col min="4622" max="4622" width="9.85546875" style="15" customWidth="1"/>
    <col min="4623" max="4623" width="10.140625" style="15" customWidth="1"/>
    <col min="4624" max="4624" width="9.140625" style="15"/>
    <col min="4625" max="4625" width="9.85546875" style="15" customWidth="1"/>
    <col min="4626" max="4626" width="10.28515625" style="15" customWidth="1"/>
    <col min="4627" max="4869" width="9.140625" style="15"/>
    <col min="4870" max="4870" width="16.140625" style="15" customWidth="1"/>
    <col min="4871" max="4871" width="13.85546875" style="15" customWidth="1"/>
    <col min="4872" max="4872" width="8" style="15" customWidth="1"/>
    <col min="4873" max="4873" width="7.85546875" style="15" customWidth="1"/>
    <col min="4874" max="4874" width="9.140625" style="15"/>
    <col min="4875" max="4875" width="10" style="15" customWidth="1"/>
    <col min="4876" max="4876" width="10.140625" style="15" customWidth="1"/>
    <col min="4877" max="4877" width="9.140625" style="15"/>
    <col min="4878" max="4878" width="9.85546875" style="15" customWidth="1"/>
    <col min="4879" max="4879" width="10.140625" style="15" customWidth="1"/>
    <col min="4880" max="4880" width="9.140625" style="15"/>
    <col min="4881" max="4881" width="9.85546875" style="15" customWidth="1"/>
    <col min="4882" max="4882" width="10.28515625" style="15" customWidth="1"/>
    <col min="4883" max="5125" width="9.140625" style="15"/>
    <col min="5126" max="5126" width="16.140625" style="15" customWidth="1"/>
    <col min="5127" max="5127" width="13.85546875" style="15" customWidth="1"/>
    <col min="5128" max="5128" width="8" style="15" customWidth="1"/>
    <col min="5129" max="5129" width="7.85546875" style="15" customWidth="1"/>
    <col min="5130" max="5130" width="9.140625" style="15"/>
    <col min="5131" max="5131" width="10" style="15" customWidth="1"/>
    <col min="5132" max="5132" width="10.140625" style="15" customWidth="1"/>
    <col min="5133" max="5133" width="9.140625" style="15"/>
    <col min="5134" max="5134" width="9.85546875" style="15" customWidth="1"/>
    <col min="5135" max="5135" width="10.140625" style="15" customWidth="1"/>
    <col min="5136" max="5136" width="9.140625" style="15"/>
    <col min="5137" max="5137" width="9.85546875" style="15" customWidth="1"/>
    <col min="5138" max="5138" width="10.28515625" style="15" customWidth="1"/>
    <col min="5139" max="5381" width="9.140625" style="15"/>
    <col min="5382" max="5382" width="16.140625" style="15" customWidth="1"/>
    <col min="5383" max="5383" width="13.85546875" style="15" customWidth="1"/>
    <col min="5384" max="5384" width="8" style="15" customWidth="1"/>
    <col min="5385" max="5385" width="7.85546875" style="15" customWidth="1"/>
    <col min="5386" max="5386" width="9.140625" style="15"/>
    <col min="5387" max="5387" width="10" style="15" customWidth="1"/>
    <col min="5388" max="5388" width="10.140625" style="15" customWidth="1"/>
    <col min="5389" max="5389" width="9.140625" style="15"/>
    <col min="5390" max="5390" width="9.85546875" style="15" customWidth="1"/>
    <col min="5391" max="5391" width="10.140625" style="15" customWidth="1"/>
    <col min="5392" max="5392" width="9.140625" style="15"/>
    <col min="5393" max="5393" width="9.85546875" style="15" customWidth="1"/>
    <col min="5394" max="5394" width="10.28515625" style="15" customWidth="1"/>
    <col min="5395" max="5637" width="9.140625" style="15"/>
    <col min="5638" max="5638" width="16.140625" style="15" customWidth="1"/>
    <col min="5639" max="5639" width="13.85546875" style="15" customWidth="1"/>
    <col min="5640" max="5640" width="8" style="15" customWidth="1"/>
    <col min="5641" max="5641" width="7.85546875" style="15" customWidth="1"/>
    <col min="5642" max="5642" width="9.140625" style="15"/>
    <col min="5643" max="5643" width="10" style="15" customWidth="1"/>
    <col min="5644" max="5644" width="10.140625" style="15" customWidth="1"/>
    <col min="5645" max="5645" width="9.140625" style="15"/>
    <col min="5646" max="5646" width="9.85546875" style="15" customWidth="1"/>
    <col min="5647" max="5647" width="10.140625" style="15" customWidth="1"/>
    <col min="5648" max="5648" width="9.140625" style="15"/>
    <col min="5649" max="5649" width="9.85546875" style="15" customWidth="1"/>
    <col min="5650" max="5650" width="10.28515625" style="15" customWidth="1"/>
    <col min="5651" max="5893" width="9.140625" style="15"/>
    <col min="5894" max="5894" width="16.140625" style="15" customWidth="1"/>
    <col min="5895" max="5895" width="13.85546875" style="15" customWidth="1"/>
    <col min="5896" max="5896" width="8" style="15" customWidth="1"/>
    <col min="5897" max="5897" width="7.85546875" style="15" customWidth="1"/>
    <col min="5898" max="5898" width="9.140625" style="15"/>
    <col min="5899" max="5899" width="10" style="15" customWidth="1"/>
    <col min="5900" max="5900" width="10.140625" style="15" customWidth="1"/>
    <col min="5901" max="5901" width="9.140625" style="15"/>
    <col min="5902" max="5902" width="9.85546875" style="15" customWidth="1"/>
    <col min="5903" max="5903" width="10.140625" style="15" customWidth="1"/>
    <col min="5904" max="5904" width="9.140625" style="15"/>
    <col min="5905" max="5905" width="9.85546875" style="15" customWidth="1"/>
    <col min="5906" max="5906" width="10.28515625" style="15" customWidth="1"/>
    <col min="5907" max="6149" width="9.140625" style="15"/>
    <col min="6150" max="6150" width="16.140625" style="15" customWidth="1"/>
    <col min="6151" max="6151" width="13.85546875" style="15" customWidth="1"/>
    <col min="6152" max="6152" width="8" style="15" customWidth="1"/>
    <col min="6153" max="6153" width="7.85546875" style="15" customWidth="1"/>
    <col min="6154" max="6154" width="9.140625" style="15"/>
    <col min="6155" max="6155" width="10" style="15" customWidth="1"/>
    <col min="6156" max="6156" width="10.140625" style="15" customWidth="1"/>
    <col min="6157" max="6157" width="9.140625" style="15"/>
    <col min="6158" max="6158" width="9.85546875" style="15" customWidth="1"/>
    <col min="6159" max="6159" width="10.140625" style="15" customWidth="1"/>
    <col min="6160" max="6160" width="9.140625" style="15"/>
    <col min="6161" max="6161" width="9.85546875" style="15" customWidth="1"/>
    <col min="6162" max="6162" width="10.28515625" style="15" customWidth="1"/>
    <col min="6163" max="6405" width="9.140625" style="15"/>
    <col min="6406" max="6406" width="16.140625" style="15" customWidth="1"/>
    <col min="6407" max="6407" width="13.85546875" style="15" customWidth="1"/>
    <col min="6408" max="6408" width="8" style="15" customWidth="1"/>
    <col min="6409" max="6409" width="7.85546875" style="15" customWidth="1"/>
    <col min="6410" max="6410" width="9.140625" style="15"/>
    <col min="6411" max="6411" width="10" style="15" customWidth="1"/>
    <col min="6412" max="6412" width="10.140625" style="15" customWidth="1"/>
    <col min="6413" max="6413" width="9.140625" style="15"/>
    <col min="6414" max="6414" width="9.85546875" style="15" customWidth="1"/>
    <col min="6415" max="6415" width="10.140625" style="15" customWidth="1"/>
    <col min="6416" max="6416" width="9.140625" style="15"/>
    <col min="6417" max="6417" width="9.85546875" style="15" customWidth="1"/>
    <col min="6418" max="6418" width="10.28515625" style="15" customWidth="1"/>
    <col min="6419" max="6661" width="9.140625" style="15"/>
    <col min="6662" max="6662" width="16.140625" style="15" customWidth="1"/>
    <col min="6663" max="6663" width="13.85546875" style="15" customWidth="1"/>
    <col min="6664" max="6664" width="8" style="15" customWidth="1"/>
    <col min="6665" max="6665" width="7.85546875" style="15" customWidth="1"/>
    <col min="6666" max="6666" width="9.140625" style="15"/>
    <col min="6667" max="6667" width="10" style="15" customWidth="1"/>
    <col min="6668" max="6668" width="10.140625" style="15" customWidth="1"/>
    <col min="6669" max="6669" width="9.140625" style="15"/>
    <col min="6670" max="6670" width="9.85546875" style="15" customWidth="1"/>
    <col min="6671" max="6671" width="10.140625" style="15" customWidth="1"/>
    <col min="6672" max="6672" width="9.140625" style="15"/>
    <col min="6673" max="6673" width="9.85546875" style="15" customWidth="1"/>
    <col min="6674" max="6674" width="10.28515625" style="15" customWidth="1"/>
    <col min="6675" max="6917" width="9.140625" style="15"/>
    <col min="6918" max="6918" width="16.140625" style="15" customWidth="1"/>
    <col min="6919" max="6919" width="13.85546875" style="15" customWidth="1"/>
    <col min="6920" max="6920" width="8" style="15" customWidth="1"/>
    <col min="6921" max="6921" width="7.85546875" style="15" customWidth="1"/>
    <col min="6922" max="6922" width="9.140625" style="15"/>
    <col min="6923" max="6923" width="10" style="15" customWidth="1"/>
    <col min="6924" max="6924" width="10.140625" style="15" customWidth="1"/>
    <col min="6925" max="6925" width="9.140625" style="15"/>
    <col min="6926" max="6926" width="9.85546875" style="15" customWidth="1"/>
    <col min="6927" max="6927" width="10.140625" style="15" customWidth="1"/>
    <col min="6928" max="6928" width="9.140625" style="15"/>
    <col min="6929" max="6929" width="9.85546875" style="15" customWidth="1"/>
    <col min="6930" max="6930" width="10.28515625" style="15" customWidth="1"/>
    <col min="6931" max="7173" width="9.140625" style="15"/>
    <col min="7174" max="7174" width="16.140625" style="15" customWidth="1"/>
    <col min="7175" max="7175" width="13.85546875" style="15" customWidth="1"/>
    <col min="7176" max="7176" width="8" style="15" customWidth="1"/>
    <col min="7177" max="7177" width="7.85546875" style="15" customWidth="1"/>
    <col min="7178" max="7178" width="9.140625" style="15"/>
    <col min="7179" max="7179" width="10" style="15" customWidth="1"/>
    <col min="7180" max="7180" width="10.140625" style="15" customWidth="1"/>
    <col min="7181" max="7181" width="9.140625" style="15"/>
    <col min="7182" max="7182" width="9.85546875" style="15" customWidth="1"/>
    <col min="7183" max="7183" width="10.140625" style="15" customWidth="1"/>
    <col min="7184" max="7184" width="9.140625" style="15"/>
    <col min="7185" max="7185" width="9.85546875" style="15" customWidth="1"/>
    <col min="7186" max="7186" width="10.28515625" style="15" customWidth="1"/>
    <col min="7187" max="7429" width="9.140625" style="15"/>
    <col min="7430" max="7430" width="16.140625" style="15" customWidth="1"/>
    <col min="7431" max="7431" width="13.85546875" style="15" customWidth="1"/>
    <col min="7432" max="7432" width="8" style="15" customWidth="1"/>
    <col min="7433" max="7433" width="7.85546875" style="15" customWidth="1"/>
    <col min="7434" max="7434" width="9.140625" style="15"/>
    <col min="7435" max="7435" width="10" style="15" customWidth="1"/>
    <col min="7436" max="7436" width="10.140625" style="15" customWidth="1"/>
    <col min="7437" max="7437" width="9.140625" style="15"/>
    <col min="7438" max="7438" width="9.85546875" style="15" customWidth="1"/>
    <col min="7439" max="7439" width="10.140625" style="15" customWidth="1"/>
    <col min="7440" max="7440" width="9.140625" style="15"/>
    <col min="7441" max="7441" width="9.85546875" style="15" customWidth="1"/>
    <col min="7442" max="7442" width="10.28515625" style="15" customWidth="1"/>
    <col min="7443" max="7685" width="9.140625" style="15"/>
    <col min="7686" max="7686" width="16.140625" style="15" customWidth="1"/>
    <col min="7687" max="7687" width="13.85546875" style="15" customWidth="1"/>
    <col min="7688" max="7688" width="8" style="15" customWidth="1"/>
    <col min="7689" max="7689" width="7.85546875" style="15" customWidth="1"/>
    <col min="7690" max="7690" width="9.140625" style="15"/>
    <col min="7691" max="7691" width="10" style="15" customWidth="1"/>
    <col min="7692" max="7692" width="10.140625" style="15" customWidth="1"/>
    <col min="7693" max="7693" width="9.140625" style="15"/>
    <col min="7694" max="7694" width="9.85546875" style="15" customWidth="1"/>
    <col min="7695" max="7695" width="10.140625" style="15" customWidth="1"/>
    <col min="7696" max="7696" width="9.140625" style="15"/>
    <col min="7697" max="7697" width="9.85546875" style="15" customWidth="1"/>
    <col min="7698" max="7698" width="10.28515625" style="15" customWidth="1"/>
    <col min="7699" max="7941" width="9.140625" style="15"/>
    <col min="7942" max="7942" width="16.140625" style="15" customWidth="1"/>
    <col min="7943" max="7943" width="13.85546875" style="15" customWidth="1"/>
    <col min="7944" max="7944" width="8" style="15" customWidth="1"/>
    <col min="7945" max="7945" width="7.85546875" style="15" customWidth="1"/>
    <col min="7946" max="7946" width="9.140625" style="15"/>
    <col min="7947" max="7947" width="10" style="15" customWidth="1"/>
    <col min="7948" max="7948" width="10.140625" style="15" customWidth="1"/>
    <col min="7949" max="7949" width="9.140625" style="15"/>
    <col min="7950" max="7950" width="9.85546875" style="15" customWidth="1"/>
    <col min="7951" max="7951" width="10.140625" style="15" customWidth="1"/>
    <col min="7952" max="7952" width="9.140625" style="15"/>
    <col min="7953" max="7953" width="9.85546875" style="15" customWidth="1"/>
    <col min="7954" max="7954" width="10.28515625" style="15" customWidth="1"/>
    <col min="7955" max="8197" width="9.140625" style="15"/>
    <col min="8198" max="8198" width="16.140625" style="15" customWidth="1"/>
    <col min="8199" max="8199" width="13.85546875" style="15" customWidth="1"/>
    <col min="8200" max="8200" width="8" style="15" customWidth="1"/>
    <col min="8201" max="8201" width="7.85546875" style="15" customWidth="1"/>
    <col min="8202" max="8202" width="9.140625" style="15"/>
    <col min="8203" max="8203" width="10" style="15" customWidth="1"/>
    <col min="8204" max="8204" width="10.140625" style="15" customWidth="1"/>
    <col min="8205" max="8205" width="9.140625" style="15"/>
    <col min="8206" max="8206" width="9.85546875" style="15" customWidth="1"/>
    <col min="8207" max="8207" width="10.140625" style="15" customWidth="1"/>
    <col min="8208" max="8208" width="9.140625" style="15"/>
    <col min="8209" max="8209" width="9.85546875" style="15" customWidth="1"/>
    <col min="8210" max="8210" width="10.28515625" style="15" customWidth="1"/>
    <col min="8211" max="8453" width="9.140625" style="15"/>
    <col min="8454" max="8454" width="16.140625" style="15" customWidth="1"/>
    <col min="8455" max="8455" width="13.85546875" style="15" customWidth="1"/>
    <col min="8456" max="8456" width="8" style="15" customWidth="1"/>
    <col min="8457" max="8457" width="7.85546875" style="15" customWidth="1"/>
    <col min="8458" max="8458" width="9.140625" style="15"/>
    <col min="8459" max="8459" width="10" style="15" customWidth="1"/>
    <col min="8460" max="8460" width="10.140625" style="15" customWidth="1"/>
    <col min="8461" max="8461" width="9.140625" style="15"/>
    <col min="8462" max="8462" width="9.85546875" style="15" customWidth="1"/>
    <col min="8463" max="8463" width="10.140625" style="15" customWidth="1"/>
    <col min="8464" max="8464" width="9.140625" style="15"/>
    <col min="8465" max="8465" width="9.85546875" style="15" customWidth="1"/>
    <col min="8466" max="8466" width="10.28515625" style="15" customWidth="1"/>
    <col min="8467" max="8709" width="9.140625" style="15"/>
    <col min="8710" max="8710" width="16.140625" style="15" customWidth="1"/>
    <col min="8711" max="8711" width="13.85546875" style="15" customWidth="1"/>
    <col min="8712" max="8712" width="8" style="15" customWidth="1"/>
    <col min="8713" max="8713" width="7.85546875" style="15" customWidth="1"/>
    <col min="8714" max="8714" width="9.140625" style="15"/>
    <col min="8715" max="8715" width="10" style="15" customWidth="1"/>
    <col min="8716" max="8716" width="10.140625" style="15" customWidth="1"/>
    <col min="8717" max="8717" width="9.140625" style="15"/>
    <col min="8718" max="8718" width="9.85546875" style="15" customWidth="1"/>
    <col min="8719" max="8719" width="10.140625" style="15" customWidth="1"/>
    <col min="8720" max="8720" width="9.140625" style="15"/>
    <col min="8721" max="8721" width="9.85546875" style="15" customWidth="1"/>
    <col min="8722" max="8722" width="10.28515625" style="15" customWidth="1"/>
    <col min="8723" max="8965" width="9.140625" style="15"/>
    <col min="8966" max="8966" width="16.140625" style="15" customWidth="1"/>
    <col min="8967" max="8967" width="13.85546875" style="15" customWidth="1"/>
    <col min="8968" max="8968" width="8" style="15" customWidth="1"/>
    <col min="8969" max="8969" width="7.85546875" style="15" customWidth="1"/>
    <col min="8970" max="8970" width="9.140625" style="15"/>
    <col min="8971" max="8971" width="10" style="15" customWidth="1"/>
    <col min="8972" max="8972" width="10.140625" style="15" customWidth="1"/>
    <col min="8973" max="8973" width="9.140625" style="15"/>
    <col min="8974" max="8974" width="9.85546875" style="15" customWidth="1"/>
    <col min="8975" max="8975" width="10.140625" style="15" customWidth="1"/>
    <col min="8976" max="8976" width="9.140625" style="15"/>
    <col min="8977" max="8977" width="9.85546875" style="15" customWidth="1"/>
    <col min="8978" max="8978" width="10.28515625" style="15" customWidth="1"/>
    <col min="8979" max="9221" width="9.140625" style="15"/>
    <col min="9222" max="9222" width="16.140625" style="15" customWidth="1"/>
    <col min="9223" max="9223" width="13.85546875" style="15" customWidth="1"/>
    <col min="9224" max="9224" width="8" style="15" customWidth="1"/>
    <col min="9225" max="9225" width="7.85546875" style="15" customWidth="1"/>
    <col min="9226" max="9226" width="9.140625" style="15"/>
    <col min="9227" max="9227" width="10" style="15" customWidth="1"/>
    <col min="9228" max="9228" width="10.140625" style="15" customWidth="1"/>
    <col min="9229" max="9229" width="9.140625" style="15"/>
    <col min="9230" max="9230" width="9.85546875" style="15" customWidth="1"/>
    <col min="9231" max="9231" width="10.140625" style="15" customWidth="1"/>
    <col min="9232" max="9232" width="9.140625" style="15"/>
    <col min="9233" max="9233" width="9.85546875" style="15" customWidth="1"/>
    <col min="9234" max="9234" width="10.28515625" style="15" customWidth="1"/>
    <col min="9235" max="9477" width="9.140625" style="15"/>
    <col min="9478" max="9478" width="16.140625" style="15" customWidth="1"/>
    <col min="9479" max="9479" width="13.85546875" style="15" customWidth="1"/>
    <col min="9480" max="9480" width="8" style="15" customWidth="1"/>
    <col min="9481" max="9481" width="7.85546875" style="15" customWidth="1"/>
    <col min="9482" max="9482" width="9.140625" style="15"/>
    <col min="9483" max="9483" width="10" style="15" customWidth="1"/>
    <col min="9484" max="9484" width="10.140625" style="15" customWidth="1"/>
    <col min="9485" max="9485" width="9.140625" style="15"/>
    <col min="9486" max="9486" width="9.85546875" style="15" customWidth="1"/>
    <col min="9487" max="9487" width="10.140625" style="15" customWidth="1"/>
    <col min="9488" max="9488" width="9.140625" style="15"/>
    <col min="9489" max="9489" width="9.85546875" style="15" customWidth="1"/>
    <col min="9490" max="9490" width="10.28515625" style="15" customWidth="1"/>
    <col min="9491" max="9733" width="9.140625" style="15"/>
    <col min="9734" max="9734" width="16.140625" style="15" customWidth="1"/>
    <col min="9735" max="9735" width="13.85546875" style="15" customWidth="1"/>
    <col min="9736" max="9736" width="8" style="15" customWidth="1"/>
    <col min="9737" max="9737" width="7.85546875" style="15" customWidth="1"/>
    <col min="9738" max="9738" width="9.140625" style="15"/>
    <col min="9739" max="9739" width="10" style="15" customWidth="1"/>
    <col min="9740" max="9740" width="10.140625" style="15" customWidth="1"/>
    <col min="9741" max="9741" width="9.140625" style="15"/>
    <col min="9742" max="9742" width="9.85546875" style="15" customWidth="1"/>
    <col min="9743" max="9743" width="10.140625" style="15" customWidth="1"/>
    <col min="9744" max="9744" width="9.140625" style="15"/>
    <col min="9745" max="9745" width="9.85546875" style="15" customWidth="1"/>
    <col min="9746" max="9746" width="10.28515625" style="15" customWidth="1"/>
    <col min="9747" max="9989" width="9.140625" style="15"/>
    <col min="9990" max="9990" width="16.140625" style="15" customWidth="1"/>
    <col min="9991" max="9991" width="13.85546875" style="15" customWidth="1"/>
    <col min="9992" max="9992" width="8" style="15" customWidth="1"/>
    <col min="9993" max="9993" width="7.85546875" style="15" customWidth="1"/>
    <col min="9994" max="9994" width="9.140625" style="15"/>
    <col min="9995" max="9995" width="10" style="15" customWidth="1"/>
    <col min="9996" max="9996" width="10.140625" style="15" customWidth="1"/>
    <col min="9997" max="9997" width="9.140625" style="15"/>
    <col min="9998" max="9998" width="9.85546875" style="15" customWidth="1"/>
    <col min="9999" max="9999" width="10.140625" style="15" customWidth="1"/>
    <col min="10000" max="10000" width="9.140625" style="15"/>
    <col min="10001" max="10001" width="9.85546875" style="15" customWidth="1"/>
    <col min="10002" max="10002" width="10.28515625" style="15" customWidth="1"/>
    <col min="10003" max="10245" width="9.140625" style="15"/>
    <col min="10246" max="10246" width="16.140625" style="15" customWidth="1"/>
    <col min="10247" max="10247" width="13.85546875" style="15" customWidth="1"/>
    <col min="10248" max="10248" width="8" style="15" customWidth="1"/>
    <col min="10249" max="10249" width="7.85546875" style="15" customWidth="1"/>
    <col min="10250" max="10250" width="9.140625" style="15"/>
    <col min="10251" max="10251" width="10" style="15" customWidth="1"/>
    <col min="10252" max="10252" width="10.140625" style="15" customWidth="1"/>
    <col min="10253" max="10253" width="9.140625" style="15"/>
    <col min="10254" max="10254" width="9.85546875" style="15" customWidth="1"/>
    <col min="10255" max="10255" width="10.140625" style="15" customWidth="1"/>
    <col min="10256" max="10256" width="9.140625" style="15"/>
    <col min="10257" max="10257" width="9.85546875" style="15" customWidth="1"/>
    <col min="10258" max="10258" width="10.28515625" style="15" customWidth="1"/>
    <col min="10259" max="10501" width="9.140625" style="15"/>
    <col min="10502" max="10502" width="16.140625" style="15" customWidth="1"/>
    <col min="10503" max="10503" width="13.85546875" style="15" customWidth="1"/>
    <col min="10504" max="10504" width="8" style="15" customWidth="1"/>
    <col min="10505" max="10505" width="7.85546875" style="15" customWidth="1"/>
    <col min="10506" max="10506" width="9.140625" style="15"/>
    <col min="10507" max="10507" width="10" style="15" customWidth="1"/>
    <col min="10508" max="10508" width="10.140625" style="15" customWidth="1"/>
    <col min="10509" max="10509" width="9.140625" style="15"/>
    <col min="10510" max="10510" width="9.85546875" style="15" customWidth="1"/>
    <col min="10511" max="10511" width="10.140625" style="15" customWidth="1"/>
    <col min="10512" max="10512" width="9.140625" style="15"/>
    <col min="10513" max="10513" width="9.85546875" style="15" customWidth="1"/>
    <col min="10514" max="10514" width="10.28515625" style="15" customWidth="1"/>
    <col min="10515" max="10757" width="9.140625" style="15"/>
    <col min="10758" max="10758" width="16.140625" style="15" customWidth="1"/>
    <col min="10759" max="10759" width="13.85546875" style="15" customWidth="1"/>
    <col min="10760" max="10760" width="8" style="15" customWidth="1"/>
    <col min="10761" max="10761" width="7.85546875" style="15" customWidth="1"/>
    <col min="10762" max="10762" width="9.140625" style="15"/>
    <col min="10763" max="10763" width="10" style="15" customWidth="1"/>
    <col min="10764" max="10764" width="10.140625" style="15" customWidth="1"/>
    <col min="10765" max="10765" width="9.140625" style="15"/>
    <col min="10766" max="10766" width="9.85546875" style="15" customWidth="1"/>
    <col min="10767" max="10767" width="10.140625" style="15" customWidth="1"/>
    <col min="10768" max="10768" width="9.140625" style="15"/>
    <col min="10769" max="10769" width="9.85546875" style="15" customWidth="1"/>
    <col min="10770" max="10770" width="10.28515625" style="15" customWidth="1"/>
    <col min="10771" max="11013" width="9.140625" style="15"/>
    <col min="11014" max="11014" width="16.140625" style="15" customWidth="1"/>
    <col min="11015" max="11015" width="13.85546875" style="15" customWidth="1"/>
    <col min="11016" max="11016" width="8" style="15" customWidth="1"/>
    <col min="11017" max="11017" width="7.85546875" style="15" customWidth="1"/>
    <col min="11018" max="11018" width="9.140625" style="15"/>
    <col min="11019" max="11019" width="10" style="15" customWidth="1"/>
    <col min="11020" max="11020" width="10.140625" style="15" customWidth="1"/>
    <col min="11021" max="11021" width="9.140625" style="15"/>
    <col min="11022" max="11022" width="9.85546875" style="15" customWidth="1"/>
    <col min="11023" max="11023" width="10.140625" style="15" customWidth="1"/>
    <col min="11024" max="11024" width="9.140625" style="15"/>
    <col min="11025" max="11025" width="9.85546875" style="15" customWidth="1"/>
    <col min="11026" max="11026" width="10.28515625" style="15" customWidth="1"/>
    <col min="11027" max="11269" width="9.140625" style="15"/>
    <col min="11270" max="11270" width="16.140625" style="15" customWidth="1"/>
    <col min="11271" max="11271" width="13.85546875" style="15" customWidth="1"/>
    <col min="11272" max="11272" width="8" style="15" customWidth="1"/>
    <col min="11273" max="11273" width="7.85546875" style="15" customWidth="1"/>
    <col min="11274" max="11274" width="9.140625" style="15"/>
    <col min="11275" max="11275" width="10" style="15" customWidth="1"/>
    <col min="11276" max="11276" width="10.140625" style="15" customWidth="1"/>
    <col min="11277" max="11277" width="9.140625" style="15"/>
    <col min="11278" max="11278" width="9.85546875" style="15" customWidth="1"/>
    <col min="11279" max="11279" width="10.140625" style="15" customWidth="1"/>
    <col min="11280" max="11280" width="9.140625" style="15"/>
    <col min="11281" max="11281" width="9.85546875" style="15" customWidth="1"/>
    <col min="11282" max="11282" width="10.28515625" style="15" customWidth="1"/>
    <col min="11283" max="11525" width="9.140625" style="15"/>
    <col min="11526" max="11526" width="16.140625" style="15" customWidth="1"/>
    <col min="11527" max="11527" width="13.85546875" style="15" customWidth="1"/>
    <col min="11528" max="11528" width="8" style="15" customWidth="1"/>
    <col min="11529" max="11529" width="7.85546875" style="15" customWidth="1"/>
    <col min="11530" max="11530" width="9.140625" style="15"/>
    <col min="11531" max="11531" width="10" style="15" customWidth="1"/>
    <col min="11532" max="11532" width="10.140625" style="15" customWidth="1"/>
    <col min="11533" max="11533" width="9.140625" style="15"/>
    <col min="11534" max="11534" width="9.85546875" style="15" customWidth="1"/>
    <col min="11535" max="11535" width="10.140625" style="15" customWidth="1"/>
    <col min="11536" max="11536" width="9.140625" style="15"/>
    <col min="11537" max="11537" width="9.85546875" style="15" customWidth="1"/>
    <col min="11538" max="11538" width="10.28515625" style="15" customWidth="1"/>
    <col min="11539" max="11781" width="9.140625" style="15"/>
    <col min="11782" max="11782" width="16.140625" style="15" customWidth="1"/>
    <col min="11783" max="11783" width="13.85546875" style="15" customWidth="1"/>
    <col min="11784" max="11784" width="8" style="15" customWidth="1"/>
    <col min="11785" max="11785" width="7.85546875" style="15" customWidth="1"/>
    <col min="11786" max="11786" width="9.140625" style="15"/>
    <col min="11787" max="11787" width="10" style="15" customWidth="1"/>
    <col min="11788" max="11788" width="10.140625" style="15" customWidth="1"/>
    <col min="11789" max="11789" width="9.140625" style="15"/>
    <col min="11790" max="11790" width="9.85546875" style="15" customWidth="1"/>
    <col min="11791" max="11791" width="10.140625" style="15" customWidth="1"/>
    <col min="11792" max="11792" width="9.140625" style="15"/>
    <col min="11793" max="11793" width="9.85546875" style="15" customWidth="1"/>
    <col min="11794" max="11794" width="10.28515625" style="15" customWidth="1"/>
    <col min="11795" max="12037" width="9.140625" style="15"/>
    <col min="12038" max="12038" width="16.140625" style="15" customWidth="1"/>
    <col min="12039" max="12039" width="13.85546875" style="15" customWidth="1"/>
    <col min="12040" max="12040" width="8" style="15" customWidth="1"/>
    <col min="12041" max="12041" width="7.85546875" style="15" customWidth="1"/>
    <col min="12042" max="12042" width="9.140625" style="15"/>
    <col min="12043" max="12043" width="10" style="15" customWidth="1"/>
    <col min="12044" max="12044" width="10.140625" style="15" customWidth="1"/>
    <col min="12045" max="12045" width="9.140625" style="15"/>
    <col min="12046" max="12046" width="9.85546875" style="15" customWidth="1"/>
    <col min="12047" max="12047" width="10.140625" style="15" customWidth="1"/>
    <col min="12048" max="12048" width="9.140625" style="15"/>
    <col min="12049" max="12049" width="9.85546875" style="15" customWidth="1"/>
    <col min="12050" max="12050" width="10.28515625" style="15" customWidth="1"/>
    <col min="12051" max="12293" width="9.140625" style="15"/>
    <col min="12294" max="12294" width="16.140625" style="15" customWidth="1"/>
    <col min="12295" max="12295" width="13.85546875" style="15" customWidth="1"/>
    <col min="12296" max="12296" width="8" style="15" customWidth="1"/>
    <col min="12297" max="12297" width="7.85546875" style="15" customWidth="1"/>
    <col min="12298" max="12298" width="9.140625" style="15"/>
    <col min="12299" max="12299" width="10" style="15" customWidth="1"/>
    <col min="12300" max="12300" width="10.140625" style="15" customWidth="1"/>
    <col min="12301" max="12301" width="9.140625" style="15"/>
    <col min="12302" max="12302" width="9.85546875" style="15" customWidth="1"/>
    <col min="12303" max="12303" width="10.140625" style="15" customWidth="1"/>
    <col min="12304" max="12304" width="9.140625" style="15"/>
    <col min="12305" max="12305" width="9.85546875" style="15" customWidth="1"/>
    <col min="12306" max="12306" width="10.28515625" style="15" customWidth="1"/>
    <col min="12307" max="12549" width="9.140625" style="15"/>
    <col min="12550" max="12550" width="16.140625" style="15" customWidth="1"/>
    <col min="12551" max="12551" width="13.85546875" style="15" customWidth="1"/>
    <col min="12552" max="12552" width="8" style="15" customWidth="1"/>
    <col min="12553" max="12553" width="7.85546875" style="15" customWidth="1"/>
    <col min="12554" max="12554" width="9.140625" style="15"/>
    <col min="12555" max="12555" width="10" style="15" customWidth="1"/>
    <col min="12556" max="12556" width="10.140625" style="15" customWidth="1"/>
    <col min="12557" max="12557" width="9.140625" style="15"/>
    <col min="12558" max="12558" width="9.85546875" style="15" customWidth="1"/>
    <col min="12559" max="12559" width="10.140625" style="15" customWidth="1"/>
    <col min="12560" max="12560" width="9.140625" style="15"/>
    <col min="12561" max="12561" width="9.85546875" style="15" customWidth="1"/>
    <col min="12562" max="12562" width="10.28515625" style="15" customWidth="1"/>
    <col min="12563" max="12805" width="9.140625" style="15"/>
    <col min="12806" max="12806" width="16.140625" style="15" customWidth="1"/>
    <col min="12807" max="12807" width="13.85546875" style="15" customWidth="1"/>
    <col min="12808" max="12808" width="8" style="15" customWidth="1"/>
    <col min="12809" max="12809" width="7.85546875" style="15" customWidth="1"/>
    <col min="12810" max="12810" width="9.140625" style="15"/>
    <col min="12811" max="12811" width="10" style="15" customWidth="1"/>
    <col min="12812" max="12812" width="10.140625" style="15" customWidth="1"/>
    <col min="12813" max="12813" width="9.140625" style="15"/>
    <col min="12814" max="12814" width="9.85546875" style="15" customWidth="1"/>
    <col min="12815" max="12815" width="10.140625" style="15" customWidth="1"/>
    <col min="12816" max="12816" width="9.140625" style="15"/>
    <col min="12817" max="12817" width="9.85546875" style="15" customWidth="1"/>
    <col min="12818" max="12818" width="10.28515625" style="15" customWidth="1"/>
    <col min="12819" max="13061" width="9.140625" style="15"/>
    <col min="13062" max="13062" width="16.140625" style="15" customWidth="1"/>
    <col min="13063" max="13063" width="13.85546875" style="15" customWidth="1"/>
    <col min="13064" max="13064" width="8" style="15" customWidth="1"/>
    <col min="13065" max="13065" width="7.85546875" style="15" customWidth="1"/>
    <col min="13066" max="13066" width="9.140625" style="15"/>
    <col min="13067" max="13067" width="10" style="15" customWidth="1"/>
    <col min="13068" max="13068" width="10.140625" style="15" customWidth="1"/>
    <col min="13069" max="13069" width="9.140625" style="15"/>
    <col min="13070" max="13070" width="9.85546875" style="15" customWidth="1"/>
    <col min="13071" max="13071" width="10.140625" style="15" customWidth="1"/>
    <col min="13072" max="13072" width="9.140625" style="15"/>
    <col min="13073" max="13073" width="9.85546875" style="15" customWidth="1"/>
    <col min="13074" max="13074" width="10.28515625" style="15" customWidth="1"/>
    <col min="13075" max="13317" width="9.140625" style="15"/>
    <col min="13318" max="13318" width="16.140625" style="15" customWidth="1"/>
    <col min="13319" max="13319" width="13.85546875" style="15" customWidth="1"/>
    <col min="13320" max="13320" width="8" style="15" customWidth="1"/>
    <col min="13321" max="13321" width="7.85546875" style="15" customWidth="1"/>
    <col min="13322" max="13322" width="9.140625" style="15"/>
    <col min="13323" max="13323" width="10" style="15" customWidth="1"/>
    <col min="13324" max="13324" width="10.140625" style="15" customWidth="1"/>
    <col min="13325" max="13325" width="9.140625" style="15"/>
    <col min="13326" max="13326" width="9.85546875" style="15" customWidth="1"/>
    <col min="13327" max="13327" width="10.140625" style="15" customWidth="1"/>
    <col min="13328" max="13328" width="9.140625" style="15"/>
    <col min="13329" max="13329" width="9.85546875" style="15" customWidth="1"/>
    <col min="13330" max="13330" width="10.28515625" style="15" customWidth="1"/>
    <col min="13331" max="13573" width="9.140625" style="15"/>
    <col min="13574" max="13574" width="16.140625" style="15" customWidth="1"/>
    <col min="13575" max="13575" width="13.85546875" style="15" customWidth="1"/>
    <col min="13576" max="13576" width="8" style="15" customWidth="1"/>
    <col min="13577" max="13577" width="7.85546875" style="15" customWidth="1"/>
    <col min="13578" max="13578" width="9.140625" style="15"/>
    <col min="13579" max="13579" width="10" style="15" customWidth="1"/>
    <col min="13580" max="13580" width="10.140625" style="15" customWidth="1"/>
    <col min="13581" max="13581" width="9.140625" style="15"/>
    <col min="13582" max="13582" width="9.85546875" style="15" customWidth="1"/>
    <col min="13583" max="13583" width="10.140625" style="15" customWidth="1"/>
    <col min="13584" max="13584" width="9.140625" style="15"/>
    <col min="13585" max="13585" width="9.85546875" style="15" customWidth="1"/>
    <col min="13586" max="13586" width="10.28515625" style="15" customWidth="1"/>
    <col min="13587" max="13829" width="9.140625" style="15"/>
    <col min="13830" max="13830" width="16.140625" style="15" customWidth="1"/>
    <col min="13831" max="13831" width="13.85546875" style="15" customWidth="1"/>
    <col min="13832" max="13832" width="8" style="15" customWidth="1"/>
    <col min="13833" max="13833" width="7.85546875" style="15" customWidth="1"/>
    <col min="13834" max="13834" width="9.140625" style="15"/>
    <col min="13835" max="13835" width="10" style="15" customWidth="1"/>
    <col min="13836" max="13836" width="10.140625" style="15" customWidth="1"/>
    <col min="13837" max="13837" width="9.140625" style="15"/>
    <col min="13838" max="13838" width="9.85546875" style="15" customWidth="1"/>
    <col min="13839" max="13839" width="10.140625" style="15" customWidth="1"/>
    <col min="13840" max="13840" width="9.140625" style="15"/>
    <col min="13841" max="13841" width="9.85546875" style="15" customWidth="1"/>
    <col min="13842" max="13842" width="10.28515625" style="15" customWidth="1"/>
    <col min="13843" max="14085" width="9.140625" style="15"/>
    <col min="14086" max="14086" width="16.140625" style="15" customWidth="1"/>
    <col min="14087" max="14087" width="13.85546875" style="15" customWidth="1"/>
    <col min="14088" max="14088" width="8" style="15" customWidth="1"/>
    <col min="14089" max="14089" width="7.85546875" style="15" customWidth="1"/>
    <col min="14090" max="14090" width="9.140625" style="15"/>
    <col min="14091" max="14091" width="10" style="15" customWidth="1"/>
    <col min="14092" max="14092" width="10.140625" style="15" customWidth="1"/>
    <col min="14093" max="14093" width="9.140625" style="15"/>
    <col min="14094" max="14094" width="9.85546875" style="15" customWidth="1"/>
    <col min="14095" max="14095" width="10.140625" style="15" customWidth="1"/>
    <col min="14096" max="14096" width="9.140625" style="15"/>
    <col min="14097" max="14097" width="9.85546875" style="15" customWidth="1"/>
    <col min="14098" max="14098" width="10.28515625" style="15" customWidth="1"/>
    <col min="14099" max="14341" width="9.140625" style="15"/>
    <col min="14342" max="14342" width="16.140625" style="15" customWidth="1"/>
    <col min="14343" max="14343" width="13.85546875" style="15" customWidth="1"/>
    <col min="14344" max="14344" width="8" style="15" customWidth="1"/>
    <col min="14345" max="14345" width="7.85546875" style="15" customWidth="1"/>
    <col min="14346" max="14346" width="9.140625" style="15"/>
    <col min="14347" max="14347" width="10" style="15" customWidth="1"/>
    <col min="14348" max="14348" width="10.140625" style="15" customWidth="1"/>
    <col min="14349" max="14349" width="9.140625" style="15"/>
    <col min="14350" max="14350" width="9.85546875" style="15" customWidth="1"/>
    <col min="14351" max="14351" width="10.140625" style="15" customWidth="1"/>
    <col min="14352" max="14352" width="9.140625" style="15"/>
    <col min="14353" max="14353" width="9.85546875" style="15" customWidth="1"/>
    <col min="14354" max="14354" width="10.28515625" style="15" customWidth="1"/>
    <col min="14355" max="14597" width="9.140625" style="15"/>
    <col min="14598" max="14598" width="16.140625" style="15" customWidth="1"/>
    <col min="14599" max="14599" width="13.85546875" style="15" customWidth="1"/>
    <col min="14600" max="14600" width="8" style="15" customWidth="1"/>
    <col min="14601" max="14601" width="7.85546875" style="15" customWidth="1"/>
    <col min="14602" max="14602" width="9.140625" style="15"/>
    <col min="14603" max="14603" width="10" style="15" customWidth="1"/>
    <col min="14604" max="14604" width="10.140625" style="15" customWidth="1"/>
    <col min="14605" max="14605" width="9.140625" style="15"/>
    <col min="14606" max="14606" width="9.85546875" style="15" customWidth="1"/>
    <col min="14607" max="14607" width="10.140625" style="15" customWidth="1"/>
    <col min="14608" max="14608" width="9.140625" style="15"/>
    <col min="14609" max="14609" width="9.85546875" style="15" customWidth="1"/>
    <col min="14610" max="14610" width="10.28515625" style="15" customWidth="1"/>
    <col min="14611" max="14853" width="9.140625" style="15"/>
    <col min="14854" max="14854" width="16.140625" style="15" customWidth="1"/>
    <col min="14855" max="14855" width="13.85546875" style="15" customWidth="1"/>
    <col min="14856" max="14856" width="8" style="15" customWidth="1"/>
    <col min="14857" max="14857" width="7.85546875" style="15" customWidth="1"/>
    <col min="14858" max="14858" width="9.140625" style="15"/>
    <col min="14859" max="14859" width="10" style="15" customWidth="1"/>
    <col min="14860" max="14860" width="10.140625" style="15" customWidth="1"/>
    <col min="14861" max="14861" width="9.140625" style="15"/>
    <col min="14862" max="14862" width="9.85546875" style="15" customWidth="1"/>
    <col min="14863" max="14863" width="10.140625" style="15" customWidth="1"/>
    <col min="14864" max="14864" width="9.140625" style="15"/>
    <col min="14865" max="14865" width="9.85546875" style="15" customWidth="1"/>
    <col min="14866" max="14866" width="10.28515625" style="15" customWidth="1"/>
    <col min="14867" max="15109" width="9.140625" style="15"/>
    <col min="15110" max="15110" width="16.140625" style="15" customWidth="1"/>
    <col min="15111" max="15111" width="13.85546875" style="15" customWidth="1"/>
    <col min="15112" max="15112" width="8" style="15" customWidth="1"/>
    <col min="15113" max="15113" width="7.85546875" style="15" customWidth="1"/>
    <col min="15114" max="15114" width="9.140625" style="15"/>
    <col min="15115" max="15115" width="10" style="15" customWidth="1"/>
    <col min="15116" max="15116" width="10.140625" style="15" customWidth="1"/>
    <col min="15117" max="15117" width="9.140625" style="15"/>
    <col min="15118" max="15118" width="9.85546875" style="15" customWidth="1"/>
    <col min="15119" max="15119" width="10.140625" style="15" customWidth="1"/>
    <col min="15120" max="15120" width="9.140625" style="15"/>
    <col min="15121" max="15121" width="9.85546875" style="15" customWidth="1"/>
    <col min="15122" max="15122" width="10.28515625" style="15" customWidth="1"/>
    <col min="15123" max="15365" width="9.140625" style="15"/>
    <col min="15366" max="15366" width="16.140625" style="15" customWidth="1"/>
    <col min="15367" max="15367" width="13.85546875" style="15" customWidth="1"/>
    <col min="15368" max="15368" width="8" style="15" customWidth="1"/>
    <col min="15369" max="15369" width="7.85546875" style="15" customWidth="1"/>
    <col min="15370" max="15370" width="9.140625" style="15"/>
    <col min="15371" max="15371" width="10" style="15" customWidth="1"/>
    <col min="15372" max="15372" width="10.140625" style="15" customWidth="1"/>
    <col min="15373" max="15373" width="9.140625" style="15"/>
    <col min="15374" max="15374" width="9.85546875" style="15" customWidth="1"/>
    <col min="15375" max="15375" width="10.140625" style="15" customWidth="1"/>
    <col min="15376" max="15376" width="9.140625" style="15"/>
    <col min="15377" max="15377" width="9.85546875" style="15" customWidth="1"/>
    <col min="15378" max="15378" width="10.28515625" style="15" customWidth="1"/>
    <col min="15379" max="15621" width="9.140625" style="15"/>
    <col min="15622" max="15622" width="16.140625" style="15" customWidth="1"/>
    <col min="15623" max="15623" width="13.85546875" style="15" customWidth="1"/>
    <col min="15624" max="15624" width="8" style="15" customWidth="1"/>
    <col min="15625" max="15625" width="7.85546875" style="15" customWidth="1"/>
    <col min="15626" max="15626" width="9.140625" style="15"/>
    <col min="15627" max="15627" width="10" style="15" customWidth="1"/>
    <col min="15628" max="15628" width="10.140625" style="15" customWidth="1"/>
    <col min="15629" max="15629" width="9.140625" style="15"/>
    <col min="15630" max="15630" width="9.85546875" style="15" customWidth="1"/>
    <col min="15631" max="15631" width="10.140625" style="15" customWidth="1"/>
    <col min="15632" max="15632" width="9.140625" style="15"/>
    <col min="15633" max="15633" width="9.85546875" style="15" customWidth="1"/>
    <col min="15634" max="15634" width="10.28515625" style="15" customWidth="1"/>
    <col min="15635" max="15877" width="9.140625" style="15"/>
    <col min="15878" max="15878" width="16.140625" style="15" customWidth="1"/>
    <col min="15879" max="15879" width="13.85546875" style="15" customWidth="1"/>
    <col min="15880" max="15880" width="8" style="15" customWidth="1"/>
    <col min="15881" max="15881" width="7.85546875" style="15" customWidth="1"/>
    <col min="15882" max="15882" width="9.140625" style="15"/>
    <col min="15883" max="15883" width="10" style="15" customWidth="1"/>
    <col min="15884" max="15884" width="10.140625" style="15" customWidth="1"/>
    <col min="15885" max="15885" width="9.140625" style="15"/>
    <col min="15886" max="15886" width="9.85546875" style="15" customWidth="1"/>
    <col min="15887" max="15887" width="10.140625" style="15" customWidth="1"/>
    <col min="15888" max="15888" width="9.140625" style="15"/>
    <col min="15889" max="15889" width="9.85546875" style="15" customWidth="1"/>
    <col min="15890" max="15890" width="10.28515625" style="15" customWidth="1"/>
    <col min="15891" max="16133" width="9.140625" style="15"/>
    <col min="16134" max="16134" width="16.140625" style="15" customWidth="1"/>
    <col min="16135" max="16135" width="13.85546875" style="15" customWidth="1"/>
    <col min="16136" max="16136" width="8" style="15" customWidth="1"/>
    <col min="16137" max="16137" width="7.85546875" style="15" customWidth="1"/>
    <col min="16138" max="16138" width="9.140625" style="15"/>
    <col min="16139" max="16139" width="10" style="15" customWidth="1"/>
    <col min="16140" max="16140" width="10.140625" style="15" customWidth="1"/>
    <col min="16141" max="16141" width="9.140625" style="15"/>
    <col min="16142" max="16142" width="9.85546875" style="15" customWidth="1"/>
    <col min="16143" max="16143" width="10.140625" style="15" customWidth="1"/>
    <col min="16144" max="16144" width="9.140625" style="15"/>
    <col min="16145" max="16145" width="9.85546875" style="15" customWidth="1"/>
    <col min="16146" max="16146" width="10.28515625" style="15" customWidth="1"/>
    <col min="16147" max="16384" width="9.140625" style="15"/>
  </cols>
  <sheetData>
    <row r="1" spans="1:20" ht="21.75" customHeight="1">
      <c r="B1" s="239" t="s">
        <v>13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20" ht="14.2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20">
      <c r="R3" s="16"/>
      <c r="S3" s="16" t="s">
        <v>9</v>
      </c>
    </row>
    <row r="4" spans="1:20" ht="30" customHeight="1">
      <c r="A4" s="231" t="s">
        <v>0</v>
      </c>
      <c r="B4" s="231" t="s">
        <v>15</v>
      </c>
      <c r="C4" s="231" t="s">
        <v>1</v>
      </c>
      <c r="D4" s="231"/>
      <c r="E4" s="231"/>
      <c r="F4" s="246" t="s">
        <v>82</v>
      </c>
      <c r="G4" s="242" t="s">
        <v>10</v>
      </c>
      <c r="H4" s="242"/>
      <c r="I4" s="242"/>
      <c r="J4" s="242" t="s">
        <v>11</v>
      </c>
      <c r="K4" s="242"/>
      <c r="L4" s="242"/>
      <c r="M4" s="242" t="s">
        <v>12</v>
      </c>
      <c r="N4" s="242"/>
      <c r="O4" s="242"/>
      <c r="P4" s="240" t="s">
        <v>41</v>
      </c>
      <c r="Q4" s="240"/>
      <c r="R4" s="240"/>
      <c r="S4" s="232" t="s">
        <v>111</v>
      </c>
    </row>
    <row r="5" spans="1:20">
      <c r="A5" s="231"/>
      <c r="B5" s="231"/>
      <c r="C5" s="231" t="s">
        <v>2</v>
      </c>
      <c r="D5" s="231" t="s">
        <v>3</v>
      </c>
      <c r="E5" s="231" t="s">
        <v>4</v>
      </c>
      <c r="F5" s="247"/>
      <c r="G5" s="241" t="s">
        <v>5</v>
      </c>
      <c r="H5" s="244" t="s">
        <v>14</v>
      </c>
      <c r="I5" s="245"/>
      <c r="J5" s="241" t="s">
        <v>5</v>
      </c>
      <c r="K5" s="244" t="s">
        <v>14</v>
      </c>
      <c r="L5" s="245"/>
      <c r="M5" s="241" t="s">
        <v>5</v>
      </c>
      <c r="N5" s="243" t="s">
        <v>14</v>
      </c>
      <c r="O5" s="243"/>
      <c r="P5" s="241" t="s">
        <v>5</v>
      </c>
      <c r="Q5" s="244" t="s">
        <v>14</v>
      </c>
      <c r="R5" s="245"/>
      <c r="S5" s="233"/>
    </row>
    <row r="6" spans="1:20" ht="38.25">
      <c r="A6" s="231"/>
      <c r="B6" s="231"/>
      <c r="C6" s="231"/>
      <c r="D6" s="231"/>
      <c r="E6" s="231"/>
      <c r="F6" s="248"/>
      <c r="G6" s="241"/>
      <c r="H6" s="17" t="s">
        <v>6</v>
      </c>
      <c r="I6" s="17" t="s">
        <v>7</v>
      </c>
      <c r="J6" s="241"/>
      <c r="K6" s="17" t="s">
        <v>6</v>
      </c>
      <c r="L6" s="17" t="s">
        <v>7</v>
      </c>
      <c r="M6" s="241"/>
      <c r="N6" s="77" t="s">
        <v>6</v>
      </c>
      <c r="O6" s="77" t="s">
        <v>7</v>
      </c>
      <c r="P6" s="241"/>
      <c r="Q6" s="17" t="s">
        <v>6</v>
      </c>
      <c r="R6" s="17" t="s">
        <v>7</v>
      </c>
      <c r="S6" s="234"/>
    </row>
    <row r="7" spans="1:20" ht="15">
      <c r="A7" s="18">
        <v>1</v>
      </c>
      <c r="B7" s="195" t="s">
        <v>61</v>
      </c>
      <c r="C7" s="195" t="s">
        <v>62</v>
      </c>
      <c r="D7" s="196">
        <v>4</v>
      </c>
      <c r="E7" s="196"/>
      <c r="F7" s="198">
        <f>[2]МКД!$H$346</f>
        <v>140</v>
      </c>
      <c r="G7" s="19">
        <f>I7+H7</f>
        <v>6436.02</v>
      </c>
      <c r="H7" s="19">
        <v>2874.75</v>
      </c>
      <c r="I7" s="19">
        <v>3561.27</v>
      </c>
      <c r="J7" s="19">
        <f>L7+K7</f>
        <v>8504.4399999999987</v>
      </c>
      <c r="K7" s="19">
        <v>3940</v>
      </c>
      <c r="L7" s="19">
        <v>4564.4399999999996</v>
      </c>
      <c r="M7" s="1">
        <f>O7+N7</f>
        <v>9014.27</v>
      </c>
      <c r="N7" s="1">
        <v>4149.17</v>
      </c>
      <c r="O7" s="1">
        <v>4865.1000000000004</v>
      </c>
      <c r="P7" s="195">
        <f>R7+Q7</f>
        <v>8842.23</v>
      </c>
      <c r="Q7" s="195">
        <v>4027.17</v>
      </c>
      <c r="R7" s="195">
        <v>4815.0600000000004</v>
      </c>
      <c r="S7" s="197">
        <f>P7/F7</f>
        <v>63.158785714285713</v>
      </c>
    </row>
    <row r="8" spans="1:20" ht="15">
      <c r="A8" s="18">
        <v>2</v>
      </c>
      <c r="B8" s="19" t="s">
        <v>61</v>
      </c>
      <c r="C8" s="19" t="s">
        <v>48</v>
      </c>
      <c r="D8" s="20">
        <v>3</v>
      </c>
      <c r="E8" s="20"/>
      <c r="F8" s="78">
        <f>[2]МКД!$H$347</f>
        <v>218</v>
      </c>
      <c r="G8" s="19">
        <f>I8+H8</f>
        <v>4682.07</v>
      </c>
      <c r="H8" s="19">
        <v>2519.2199999999998</v>
      </c>
      <c r="I8" s="19">
        <v>2162.85</v>
      </c>
      <c r="J8" s="19">
        <f>L8+K8</f>
        <v>5801.95</v>
      </c>
      <c r="K8" s="19">
        <v>2736.56</v>
      </c>
      <c r="L8" s="19">
        <v>3065.39</v>
      </c>
      <c r="M8" s="1">
        <f>O8+N8</f>
        <v>5541.09</v>
      </c>
      <c r="N8" s="1">
        <v>2844.01</v>
      </c>
      <c r="O8" s="1">
        <v>2697.08</v>
      </c>
      <c r="P8" s="19">
        <f>R8+Q8</f>
        <v>5603.33</v>
      </c>
      <c r="Q8" s="19">
        <v>2951.34</v>
      </c>
      <c r="R8" s="19">
        <v>2651.99</v>
      </c>
      <c r="S8" s="37">
        <f>P8/F8</f>
        <v>25.703348623853209</v>
      </c>
    </row>
    <row r="9" spans="1:20" ht="15">
      <c r="A9" s="18">
        <v>3</v>
      </c>
      <c r="B9" s="19" t="s">
        <v>61</v>
      </c>
      <c r="C9" s="19" t="s">
        <v>24</v>
      </c>
      <c r="D9" s="20">
        <v>26</v>
      </c>
      <c r="E9" s="20"/>
      <c r="F9" s="78">
        <f>[2]МКД!$H$345</f>
        <v>42</v>
      </c>
      <c r="G9" s="19">
        <f>I9+H9</f>
        <v>981.27</v>
      </c>
      <c r="H9" s="19">
        <v>514.85</v>
      </c>
      <c r="I9" s="19">
        <v>466.42</v>
      </c>
      <c r="J9" s="19">
        <f>L9+K9</f>
        <v>1240.6600000000001</v>
      </c>
      <c r="K9" s="19">
        <v>601.34</v>
      </c>
      <c r="L9" s="19">
        <v>639.32000000000005</v>
      </c>
      <c r="M9" s="1">
        <f>O9+N9</f>
        <v>1224.05</v>
      </c>
      <c r="N9" s="1">
        <v>640</v>
      </c>
      <c r="O9" s="1">
        <v>584.04999999999995</v>
      </c>
      <c r="P9" s="19">
        <f>R9+Q9</f>
        <v>1284.6799999999998</v>
      </c>
      <c r="Q9" s="19">
        <v>767.63</v>
      </c>
      <c r="R9" s="19">
        <v>517.04999999999995</v>
      </c>
      <c r="S9" s="37">
        <f>P9/F9</f>
        <v>30.587619047619043</v>
      </c>
    </row>
    <row r="10" spans="1:20" ht="15">
      <c r="A10" s="18">
        <v>4</v>
      </c>
      <c r="B10" s="19" t="s">
        <v>61</v>
      </c>
      <c r="C10" s="19" t="s">
        <v>24</v>
      </c>
      <c r="D10" s="20">
        <v>24</v>
      </c>
      <c r="E10" s="20">
        <v>1</v>
      </c>
      <c r="F10" s="78">
        <f>[2]МКД!$H$343</f>
        <v>33</v>
      </c>
      <c r="G10" s="19">
        <f>I10+H10</f>
        <v>941.09999999999991</v>
      </c>
      <c r="H10" s="19">
        <v>530.4</v>
      </c>
      <c r="I10" s="19">
        <v>410.7</v>
      </c>
      <c r="J10" s="19">
        <f>L10+K10</f>
        <v>1030.79</v>
      </c>
      <c r="K10" s="19">
        <v>458.51</v>
      </c>
      <c r="L10" s="19">
        <v>572.28</v>
      </c>
      <c r="M10" s="1">
        <f>O10+N10</f>
        <v>1094.8</v>
      </c>
      <c r="N10" s="1">
        <v>522.29999999999995</v>
      </c>
      <c r="O10" s="1">
        <v>572.5</v>
      </c>
      <c r="P10" s="19">
        <f>R10+Q10</f>
        <v>1123.71</v>
      </c>
      <c r="Q10" s="19">
        <v>630.21</v>
      </c>
      <c r="R10" s="19">
        <v>493.5</v>
      </c>
      <c r="S10" s="37">
        <f>P10/F10</f>
        <v>34.051818181818184</v>
      </c>
    </row>
    <row r="11" spans="1:20" ht="15">
      <c r="A11" s="18">
        <v>5</v>
      </c>
      <c r="B11" s="19" t="s">
        <v>61</v>
      </c>
      <c r="C11" s="19" t="s">
        <v>24</v>
      </c>
      <c r="D11" s="20">
        <v>24</v>
      </c>
      <c r="E11" s="20">
        <v>2</v>
      </c>
      <c r="F11" s="78">
        <f>[2]МКД!$H$344</f>
        <v>33</v>
      </c>
      <c r="G11" s="19">
        <f>I11+H11</f>
        <v>543.01</v>
      </c>
      <c r="H11" s="19">
        <v>311.89999999999998</v>
      </c>
      <c r="I11" s="19">
        <v>231.11</v>
      </c>
      <c r="J11" s="19">
        <f>L11+K11</f>
        <v>788.36</v>
      </c>
      <c r="K11" s="19">
        <v>432.5</v>
      </c>
      <c r="L11" s="19">
        <v>355.86</v>
      </c>
      <c r="M11" s="1">
        <f>O11+N11</f>
        <v>775.12</v>
      </c>
      <c r="N11" s="1">
        <v>436.74</v>
      </c>
      <c r="O11" s="1">
        <v>338.38</v>
      </c>
      <c r="P11" s="19">
        <f>R11+Q11</f>
        <v>832.18</v>
      </c>
      <c r="Q11" s="19">
        <v>551.79999999999995</v>
      </c>
      <c r="R11" s="19">
        <v>280.38</v>
      </c>
      <c r="S11" s="37">
        <f>P11/F11</f>
        <v>25.217575757575755</v>
      </c>
    </row>
    <row r="12" spans="1:20" s="96" customFormat="1">
      <c r="A12" s="100"/>
      <c r="B12" s="94" t="s">
        <v>60</v>
      </c>
      <c r="C12" s="94"/>
      <c r="D12" s="94"/>
      <c r="E12" s="94"/>
      <c r="F12" s="284">
        <f>SUM(F7:F11)</f>
        <v>466</v>
      </c>
      <c r="G12" s="94">
        <f t="shared" ref="G12:R12" si="0">SUM(G7:G11)</f>
        <v>13583.470000000001</v>
      </c>
      <c r="H12" s="94">
        <f t="shared" si="0"/>
        <v>6751.119999999999</v>
      </c>
      <c r="I12" s="94">
        <f t="shared" si="0"/>
        <v>6832.3499999999995</v>
      </c>
      <c r="J12" s="94">
        <f t="shared" si="0"/>
        <v>17366.2</v>
      </c>
      <c r="K12" s="94">
        <f t="shared" si="0"/>
        <v>8168.91</v>
      </c>
      <c r="L12" s="94">
        <f t="shared" si="0"/>
        <v>9197.2900000000009</v>
      </c>
      <c r="M12" s="94">
        <f>SUM(M7:M11)</f>
        <v>17649.329999999998</v>
      </c>
      <c r="N12" s="94">
        <f>SUM(N7:N11)</f>
        <v>8592.2200000000012</v>
      </c>
      <c r="O12" s="94">
        <f>SUM(O7:O11)</f>
        <v>9057.1099999999988</v>
      </c>
      <c r="P12" s="94">
        <f>SUM(P7:P11)</f>
        <v>17686.13</v>
      </c>
      <c r="Q12" s="94">
        <f t="shared" si="0"/>
        <v>8928.15</v>
      </c>
      <c r="R12" s="94">
        <f t="shared" si="0"/>
        <v>8757.98</v>
      </c>
      <c r="S12" s="94"/>
      <c r="T12" s="96">
        <f>P12/A11</f>
        <v>3537.2260000000001</v>
      </c>
    </row>
    <row r="14" spans="1:20">
      <c r="B14" s="96" t="s">
        <v>112</v>
      </c>
    </row>
    <row r="15" spans="1:20" ht="30.75" customHeight="1">
      <c r="B15" s="225" t="s">
        <v>116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</row>
  </sheetData>
  <sortState ref="C7:S11">
    <sortCondition descending="1" ref="P7:P11"/>
  </sortState>
  <mergeCells count="22">
    <mergeCell ref="M4:O4"/>
    <mergeCell ref="M5:M6"/>
    <mergeCell ref="N5:O5"/>
    <mergeCell ref="Q5:R5"/>
    <mergeCell ref="P4:R4"/>
    <mergeCell ref="P5:P6"/>
    <mergeCell ref="S4:S6"/>
    <mergeCell ref="B15:T15"/>
    <mergeCell ref="B1:S1"/>
    <mergeCell ref="A4:A6"/>
    <mergeCell ref="B4:B6"/>
    <mergeCell ref="C4:E4"/>
    <mergeCell ref="G4:I4"/>
    <mergeCell ref="J4:L4"/>
    <mergeCell ref="C5:C6"/>
    <mergeCell ref="D5:D6"/>
    <mergeCell ref="E5:E6"/>
    <mergeCell ref="G5:G6"/>
    <mergeCell ref="H5:I5"/>
    <mergeCell ref="J5:J6"/>
    <mergeCell ref="K5:L5"/>
    <mergeCell ref="F4:F6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>
      <selection activeCell="F12" sqref="F12"/>
    </sheetView>
  </sheetViews>
  <sheetFormatPr defaultRowHeight="15" outlineLevelCol="1"/>
  <cols>
    <col min="1" max="1" width="5" customWidth="1"/>
    <col min="2" max="2" width="22.140625" customWidth="1"/>
    <col min="3" max="3" width="21.5703125" customWidth="1"/>
    <col min="4" max="4" width="7.7109375" customWidth="1"/>
    <col min="8" max="8" width="11" customWidth="1"/>
    <col min="9" max="9" width="13.7109375" customWidth="1"/>
    <col min="10" max="10" width="0" hidden="1" customWidth="1" outlineLevel="1"/>
    <col min="11" max="11" width="10" hidden="1" customWidth="1" outlineLevel="1"/>
    <col min="12" max="12" width="11.85546875" hidden="1" customWidth="1" outlineLevel="1"/>
    <col min="13" max="13" width="0" hidden="1" customWidth="1" outlineLevel="1"/>
    <col min="14" max="14" width="10.42578125" hidden="1" customWidth="1" outlineLevel="1"/>
    <col min="15" max="15" width="12.85546875" hidden="1" customWidth="1" outlineLevel="1"/>
    <col min="16" max="16" width="9.140625" collapsed="1"/>
    <col min="17" max="17" width="10.42578125" customWidth="1"/>
    <col min="18" max="18" width="12.85546875" customWidth="1"/>
  </cols>
  <sheetData>
    <row r="1" spans="1:20">
      <c r="B1" s="224" t="s">
        <v>13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20">
      <c r="O2" s="3" t="s">
        <v>9</v>
      </c>
      <c r="R2" s="3"/>
      <c r="S2" s="3" t="s">
        <v>9</v>
      </c>
    </row>
    <row r="3" spans="1:20" ht="29.25" customHeight="1">
      <c r="A3" s="231" t="s">
        <v>0</v>
      </c>
      <c r="B3" s="231" t="s">
        <v>15</v>
      </c>
      <c r="C3" s="231" t="s">
        <v>1</v>
      </c>
      <c r="D3" s="231"/>
      <c r="E3" s="231"/>
      <c r="F3" s="246" t="s">
        <v>82</v>
      </c>
      <c r="G3" s="230" t="s">
        <v>10</v>
      </c>
      <c r="H3" s="230"/>
      <c r="I3" s="230"/>
      <c r="J3" s="230" t="s">
        <v>11</v>
      </c>
      <c r="K3" s="230"/>
      <c r="L3" s="230"/>
      <c r="M3" s="230" t="s">
        <v>12</v>
      </c>
      <c r="N3" s="230"/>
      <c r="O3" s="230"/>
      <c r="P3" s="226" t="s">
        <v>41</v>
      </c>
      <c r="Q3" s="226"/>
      <c r="R3" s="226"/>
      <c r="S3" s="232" t="s">
        <v>111</v>
      </c>
    </row>
    <row r="4" spans="1:20" ht="13.5" customHeight="1">
      <c r="A4" s="231"/>
      <c r="B4" s="231"/>
      <c r="C4" s="231" t="s">
        <v>2</v>
      </c>
      <c r="D4" s="231" t="s">
        <v>3</v>
      </c>
      <c r="E4" s="231" t="s">
        <v>4</v>
      </c>
      <c r="F4" s="247"/>
      <c r="G4" s="227" t="s">
        <v>5</v>
      </c>
      <c r="H4" s="228" t="s">
        <v>14</v>
      </c>
      <c r="I4" s="229"/>
      <c r="J4" s="227" t="s">
        <v>5</v>
      </c>
      <c r="K4" s="228" t="s">
        <v>14</v>
      </c>
      <c r="L4" s="229"/>
      <c r="M4" s="227" t="s">
        <v>5</v>
      </c>
      <c r="N4" s="228" t="s">
        <v>14</v>
      </c>
      <c r="O4" s="229"/>
      <c r="P4" s="227" t="s">
        <v>5</v>
      </c>
      <c r="Q4" s="228" t="s">
        <v>14</v>
      </c>
      <c r="R4" s="229"/>
      <c r="S4" s="233"/>
    </row>
    <row r="5" spans="1:20" ht="38.25">
      <c r="A5" s="231"/>
      <c r="B5" s="231"/>
      <c r="C5" s="231"/>
      <c r="D5" s="231"/>
      <c r="E5" s="231"/>
      <c r="F5" s="248"/>
      <c r="G5" s="227"/>
      <c r="H5" s="4" t="s">
        <v>6</v>
      </c>
      <c r="I5" s="4" t="s">
        <v>7</v>
      </c>
      <c r="J5" s="227"/>
      <c r="K5" s="4" t="s">
        <v>6</v>
      </c>
      <c r="L5" s="4" t="s">
        <v>7</v>
      </c>
      <c r="M5" s="227"/>
      <c r="N5" s="4" t="s">
        <v>6</v>
      </c>
      <c r="O5" s="4" t="s">
        <v>7</v>
      </c>
      <c r="P5" s="227"/>
      <c r="Q5" s="4" t="s">
        <v>6</v>
      </c>
      <c r="R5" s="4" t="s">
        <v>7</v>
      </c>
      <c r="S5" s="234"/>
    </row>
    <row r="6" spans="1:20">
      <c r="A6" s="2">
        <v>1</v>
      </c>
      <c r="B6" s="1" t="s">
        <v>63</v>
      </c>
      <c r="C6" s="170" t="s">
        <v>64</v>
      </c>
      <c r="D6" s="170">
        <v>38</v>
      </c>
      <c r="E6" s="170"/>
      <c r="F6" s="170">
        <f>[1]МКД!$H$206</f>
        <v>143</v>
      </c>
      <c r="G6" s="1">
        <f>H6+I6</f>
        <v>1418.3400000000001</v>
      </c>
      <c r="H6" s="1">
        <v>546.44000000000005</v>
      </c>
      <c r="I6" s="1">
        <v>871.9</v>
      </c>
      <c r="J6" s="1">
        <f>K6+L6</f>
        <v>1349.74</v>
      </c>
      <c r="K6" s="1">
        <v>574.24</v>
      </c>
      <c r="L6" s="1">
        <v>775.5</v>
      </c>
      <c r="M6" s="1">
        <f>N6+O6</f>
        <v>1359.74</v>
      </c>
      <c r="N6" s="1">
        <v>630.24</v>
      </c>
      <c r="O6" s="1">
        <v>729.5</v>
      </c>
      <c r="P6" s="170">
        <f>Q6+R6</f>
        <v>1357.24</v>
      </c>
      <c r="Q6" s="170">
        <v>618.44000000000005</v>
      </c>
      <c r="R6" s="170">
        <v>738.8</v>
      </c>
      <c r="S6" s="147">
        <f>P6/F6</f>
        <v>9.4911888111888114</v>
      </c>
    </row>
    <row r="7" spans="1:20">
      <c r="A7" s="2">
        <v>2</v>
      </c>
      <c r="B7" s="1" t="s">
        <v>63</v>
      </c>
      <c r="C7" s="170" t="s">
        <v>65</v>
      </c>
      <c r="D7" s="170">
        <v>8</v>
      </c>
      <c r="E7" s="170"/>
      <c r="F7" s="170">
        <f>[1]МКД!$H$228</f>
        <v>98</v>
      </c>
      <c r="G7" s="1">
        <f>H7+I7</f>
        <v>983.8</v>
      </c>
      <c r="H7" s="1">
        <v>350.9</v>
      </c>
      <c r="I7" s="1">
        <v>632.9</v>
      </c>
      <c r="J7" s="1">
        <f>K7+L7</f>
        <v>1010.3</v>
      </c>
      <c r="K7" s="1">
        <v>395.3</v>
      </c>
      <c r="L7" s="1">
        <v>615</v>
      </c>
      <c r="M7" s="1">
        <f>N7+O7</f>
        <v>980.1</v>
      </c>
      <c r="N7" s="1">
        <v>432.5</v>
      </c>
      <c r="O7" s="1">
        <v>547.6</v>
      </c>
      <c r="P7" s="1">
        <f>Q7+R7</f>
        <v>1082</v>
      </c>
      <c r="Q7" s="1">
        <v>490.6</v>
      </c>
      <c r="R7" s="1">
        <v>591.4</v>
      </c>
      <c r="S7" s="199">
        <f>P7/F7</f>
        <v>11.040816326530612</v>
      </c>
    </row>
    <row r="8" spans="1:20">
      <c r="A8" s="2">
        <v>3</v>
      </c>
      <c r="B8" s="1" t="s">
        <v>63</v>
      </c>
      <c r="C8" s="1" t="s">
        <v>65</v>
      </c>
      <c r="D8" s="1">
        <v>3</v>
      </c>
      <c r="E8" s="1"/>
      <c r="F8" s="74">
        <f>[1]МКД!$H$69</f>
        <v>49</v>
      </c>
      <c r="G8" s="1">
        <f>H8+I8</f>
        <v>450.70000000000005</v>
      </c>
      <c r="H8" s="1">
        <v>176.6</v>
      </c>
      <c r="I8" s="1">
        <v>274.10000000000002</v>
      </c>
      <c r="J8" s="1">
        <f>K8+L8</f>
        <v>340.8</v>
      </c>
      <c r="K8" s="1">
        <v>186.8</v>
      </c>
      <c r="L8" s="1">
        <v>154</v>
      </c>
      <c r="M8" s="1">
        <f>N8+O8</f>
        <v>312.5</v>
      </c>
      <c r="N8" s="1">
        <v>178.9</v>
      </c>
      <c r="O8" s="1">
        <v>133.6</v>
      </c>
      <c r="P8" s="1">
        <f>Q8+R8</f>
        <v>334.7</v>
      </c>
      <c r="Q8" s="1">
        <v>224</v>
      </c>
      <c r="R8" s="1">
        <v>110.7</v>
      </c>
      <c r="S8" s="147">
        <f>P8/F8</f>
        <v>6.8306122448979592</v>
      </c>
    </row>
    <row r="9" spans="1:20">
      <c r="A9" s="2">
        <v>4</v>
      </c>
      <c r="B9" s="1" t="s">
        <v>63</v>
      </c>
      <c r="C9" s="1" t="s">
        <v>59</v>
      </c>
      <c r="D9" s="1">
        <v>3</v>
      </c>
      <c r="E9" s="1"/>
      <c r="F9" s="74">
        <f>[1]МКД!$H$192</f>
        <v>24</v>
      </c>
      <c r="G9" s="1">
        <f>H9+I9</f>
        <v>128.4</v>
      </c>
      <c r="H9" s="1">
        <v>66.5</v>
      </c>
      <c r="I9" s="1">
        <v>61.9</v>
      </c>
      <c r="J9" s="1">
        <f>K9+L9</f>
        <v>144</v>
      </c>
      <c r="K9" s="1">
        <v>79.900000000000006</v>
      </c>
      <c r="L9" s="1">
        <v>64.099999999999994</v>
      </c>
      <c r="M9" s="1">
        <f>N9+O9</f>
        <v>93.7</v>
      </c>
      <c r="N9" s="1">
        <v>67.7</v>
      </c>
      <c r="O9" s="1">
        <v>26</v>
      </c>
      <c r="P9" s="1">
        <f>Q9+R9</f>
        <v>111.4</v>
      </c>
      <c r="Q9" s="1">
        <v>85.4</v>
      </c>
      <c r="R9" s="1">
        <v>26</v>
      </c>
      <c r="S9" s="147">
        <f>P9/F9</f>
        <v>4.6416666666666666</v>
      </c>
    </row>
    <row r="10" spans="1:20">
      <c r="A10" s="2">
        <v>5</v>
      </c>
      <c r="B10" s="1" t="s">
        <v>63</v>
      </c>
      <c r="C10" s="1" t="s">
        <v>59</v>
      </c>
      <c r="D10" s="1">
        <v>1</v>
      </c>
      <c r="E10" s="1"/>
      <c r="F10" s="74">
        <f>[1]МКД!$H$181</f>
        <v>24</v>
      </c>
      <c r="G10" s="1">
        <f>H10+I10</f>
        <v>84.2</v>
      </c>
      <c r="H10" s="1">
        <v>58.5</v>
      </c>
      <c r="I10" s="1">
        <v>25.7</v>
      </c>
      <c r="J10" s="1">
        <f>K10+L10</f>
        <v>81.3</v>
      </c>
      <c r="K10" s="1">
        <v>51</v>
      </c>
      <c r="L10" s="1">
        <v>30.3</v>
      </c>
      <c r="M10" s="1">
        <f>N10+O10</f>
        <v>70</v>
      </c>
      <c r="N10" s="1">
        <v>62.3</v>
      </c>
      <c r="O10" s="1">
        <v>7.7</v>
      </c>
      <c r="P10" s="1">
        <f>Q10+R10</f>
        <v>9.6999999999999993</v>
      </c>
      <c r="Q10" s="1">
        <v>5.8</v>
      </c>
      <c r="R10" s="1">
        <v>3.9</v>
      </c>
      <c r="S10" s="147">
        <f>P10/F10</f>
        <v>0.40416666666666662</v>
      </c>
    </row>
    <row r="11" spans="1:20" s="99" customFormat="1">
      <c r="A11" s="97"/>
      <c r="B11" s="98" t="s">
        <v>8</v>
      </c>
      <c r="C11" s="98"/>
      <c r="D11" s="98"/>
      <c r="E11" s="98"/>
      <c r="F11" s="98">
        <f>SUM(F6:F10)</f>
        <v>338</v>
      </c>
      <c r="G11" s="98">
        <f t="shared" ref="G11:R11" si="0">SUM(G6:G10)</f>
        <v>3065.44</v>
      </c>
      <c r="H11" s="98">
        <f>SUM(H6:H10)</f>
        <v>1198.94</v>
      </c>
      <c r="I11" s="98">
        <f t="shared" si="0"/>
        <v>1866.5000000000002</v>
      </c>
      <c r="J11" s="98">
        <f t="shared" si="0"/>
        <v>2926.1400000000003</v>
      </c>
      <c r="K11" s="98">
        <f t="shared" si="0"/>
        <v>1287.24</v>
      </c>
      <c r="L11" s="98">
        <f t="shared" si="0"/>
        <v>1638.8999999999999</v>
      </c>
      <c r="M11" s="98">
        <f t="shared" si="0"/>
        <v>2816.04</v>
      </c>
      <c r="N11" s="98">
        <f t="shared" si="0"/>
        <v>1371.64</v>
      </c>
      <c r="O11" s="98">
        <f t="shared" si="0"/>
        <v>1444.3999999999999</v>
      </c>
      <c r="P11" s="98">
        <f t="shared" si="0"/>
        <v>2895.0399999999995</v>
      </c>
      <c r="Q11" s="98">
        <f>SUM(Q6:Q10)</f>
        <v>1424.24</v>
      </c>
      <c r="R11" s="98">
        <f t="shared" si="0"/>
        <v>1470.8</v>
      </c>
      <c r="S11" s="98"/>
      <c r="T11" s="99">
        <f>P11/A10</f>
        <v>579.00799999999992</v>
      </c>
    </row>
    <row r="13" spans="1:20" s="15" customFormat="1" ht="12.75">
      <c r="B13" s="96" t="s">
        <v>112</v>
      </c>
    </row>
    <row r="14" spans="1:20" s="15" customFormat="1" ht="44.25" customHeight="1">
      <c r="B14" s="225" t="s">
        <v>117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</row>
  </sheetData>
  <sortState ref="B6:S10">
    <sortCondition descending="1" ref="P6:P10"/>
  </sortState>
  <mergeCells count="22">
    <mergeCell ref="F3:F5"/>
    <mergeCell ref="H4:I4"/>
    <mergeCell ref="J4:J5"/>
    <mergeCell ref="K4:L4"/>
    <mergeCell ref="M4:M5"/>
    <mergeCell ref="G4:G5"/>
    <mergeCell ref="N4:O4"/>
    <mergeCell ref="S3:S5"/>
    <mergeCell ref="B14:T14"/>
    <mergeCell ref="B1:S1"/>
    <mergeCell ref="A3:A5"/>
    <mergeCell ref="B3:B5"/>
    <mergeCell ref="C3:E3"/>
    <mergeCell ref="G3:I3"/>
    <mergeCell ref="J3:L3"/>
    <mergeCell ref="M3:O3"/>
    <mergeCell ref="P4:P5"/>
    <mergeCell ref="Q4:R4"/>
    <mergeCell ref="P3:R3"/>
    <mergeCell ref="C4:C5"/>
    <mergeCell ref="D4:D5"/>
    <mergeCell ref="E4:E5"/>
  </mergeCells>
  <pageMargins left="0.15748031496062992" right="0.15748031496062992" top="0.74803149606299213" bottom="0.74803149606299213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6"/>
  <sheetViews>
    <sheetView topLeftCell="A24" workbookViewId="0">
      <selection activeCell="F44" sqref="F44"/>
    </sheetView>
  </sheetViews>
  <sheetFormatPr defaultColWidth="16.5703125" defaultRowHeight="12.75" outlineLevelCol="1"/>
  <cols>
    <col min="1" max="1" width="6" style="15" customWidth="1"/>
    <col min="2" max="2" width="19.7109375" style="15" customWidth="1"/>
    <col min="3" max="3" width="12.42578125" style="15" customWidth="1"/>
    <col min="4" max="4" width="12.5703125" style="15" customWidth="1"/>
    <col min="5" max="5" width="6.85546875" style="15" customWidth="1"/>
    <col min="6" max="6" width="10" style="15" customWidth="1"/>
    <col min="7" max="7" width="10.28515625" style="15" customWidth="1"/>
    <col min="8" max="8" width="12.28515625" style="15" customWidth="1"/>
    <col min="9" max="9" width="16.42578125" style="15" customWidth="1"/>
    <col min="10" max="15" width="0" style="15" hidden="1" customWidth="1" outlineLevel="1"/>
    <col min="16" max="16" width="17.7109375" style="15" customWidth="1" collapsed="1"/>
    <col min="17" max="17" width="12.7109375" style="15" customWidth="1"/>
    <col min="18" max="18" width="14.140625" style="15" customWidth="1"/>
    <col min="19" max="19" width="13.85546875" style="173" customWidth="1"/>
    <col min="20" max="257" width="16.5703125" style="15"/>
    <col min="258" max="258" width="14.140625" style="15" customWidth="1"/>
    <col min="259" max="260" width="16.5703125" style="15" customWidth="1"/>
    <col min="261" max="261" width="12.5703125" style="15" customWidth="1"/>
    <col min="262" max="262" width="6.85546875" style="15" customWidth="1"/>
    <col min="263" max="513" width="16.5703125" style="15"/>
    <col min="514" max="514" width="14.140625" style="15" customWidth="1"/>
    <col min="515" max="516" width="16.5703125" style="15" customWidth="1"/>
    <col min="517" max="517" width="12.5703125" style="15" customWidth="1"/>
    <col min="518" max="518" width="6.85546875" style="15" customWidth="1"/>
    <col min="519" max="769" width="16.5703125" style="15"/>
    <col min="770" max="770" width="14.140625" style="15" customWidth="1"/>
    <col min="771" max="772" width="16.5703125" style="15" customWidth="1"/>
    <col min="773" max="773" width="12.5703125" style="15" customWidth="1"/>
    <col min="774" max="774" width="6.85546875" style="15" customWidth="1"/>
    <col min="775" max="1025" width="16.5703125" style="15"/>
    <col min="1026" max="1026" width="14.140625" style="15" customWidth="1"/>
    <col min="1027" max="1028" width="16.5703125" style="15" customWidth="1"/>
    <col min="1029" max="1029" width="12.5703125" style="15" customWidth="1"/>
    <col min="1030" max="1030" width="6.85546875" style="15" customWidth="1"/>
    <col min="1031" max="1281" width="16.5703125" style="15"/>
    <col min="1282" max="1282" width="14.140625" style="15" customWidth="1"/>
    <col min="1283" max="1284" width="16.5703125" style="15" customWidth="1"/>
    <col min="1285" max="1285" width="12.5703125" style="15" customWidth="1"/>
    <col min="1286" max="1286" width="6.85546875" style="15" customWidth="1"/>
    <col min="1287" max="1537" width="16.5703125" style="15"/>
    <col min="1538" max="1538" width="14.140625" style="15" customWidth="1"/>
    <col min="1539" max="1540" width="16.5703125" style="15" customWidth="1"/>
    <col min="1541" max="1541" width="12.5703125" style="15" customWidth="1"/>
    <col min="1542" max="1542" width="6.85546875" style="15" customWidth="1"/>
    <col min="1543" max="1793" width="16.5703125" style="15"/>
    <col min="1794" max="1794" width="14.140625" style="15" customWidth="1"/>
    <col min="1795" max="1796" width="16.5703125" style="15" customWidth="1"/>
    <col min="1797" max="1797" width="12.5703125" style="15" customWidth="1"/>
    <col min="1798" max="1798" width="6.85546875" style="15" customWidth="1"/>
    <col min="1799" max="2049" width="16.5703125" style="15"/>
    <col min="2050" max="2050" width="14.140625" style="15" customWidth="1"/>
    <col min="2051" max="2052" width="16.5703125" style="15" customWidth="1"/>
    <col min="2053" max="2053" width="12.5703125" style="15" customWidth="1"/>
    <col min="2054" max="2054" width="6.85546875" style="15" customWidth="1"/>
    <col min="2055" max="2305" width="16.5703125" style="15"/>
    <col min="2306" max="2306" width="14.140625" style="15" customWidth="1"/>
    <col min="2307" max="2308" width="16.5703125" style="15" customWidth="1"/>
    <col min="2309" max="2309" width="12.5703125" style="15" customWidth="1"/>
    <col min="2310" max="2310" width="6.85546875" style="15" customWidth="1"/>
    <col min="2311" max="2561" width="16.5703125" style="15"/>
    <col min="2562" max="2562" width="14.140625" style="15" customWidth="1"/>
    <col min="2563" max="2564" width="16.5703125" style="15" customWidth="1"/>
    <col min="2565" max="2565" width="12.5703125" style="15" customWidth="1"/>
    <col min="2566" max="2566" width="6.85546875" style="15" customWidth="1"/>
    <col min="2567" max="2817" width="16.5703125" style="15"/>
    <col min="2818" max="2818" width="14.140625" style="15" customWidth="1"/>
    <col min="2819" max="2820" width="16.5703125" style="15" customWidth="1"/>
    <col min="2821" max="2821" width="12.5703125" style="15" customWidth="1"/>
    <col min="2822" max="2822" width="6.85546875" style="15" customWidth="1"/>
    <col min="2823" max="3073" width="16.5703125" style="15"/>
    <col min="3074" max="3074" width="14.140625" style="15" customWidth="1"/>
    <col min="3075" max="3076" width="16.5703125" style="15" customWidth="1"/>
    <col min="3077" max="3077" width="12.5703125" style="15" customWidth="1"/>
    <col min="3078" max="3078" width="6.85546875" style="15" customWidth="1"/>
    <col min="3079" max="3329" width="16.5703125" style="15"/>
    <col min="3330" max="3330" width="14.140625" style="15" customWidth="1"/>
    <col min="3331" max="3332" width="16.5703125" style="15" customWidth="1"/>
    <col min="3333" max="3333" width="12.5703125" style="15" customWidth="1"/>
    <col min="3334" max="3334" width="6.85546875" style="15" customWidth="1"/>
    <col min="3335" max="3585" width="16.5703125" style="15"/>
    <col min="3586" max="3586" width="14.140625" style="15" customWidth="1"/>
    <col min="3587" max="3588" width="16.5703125" style="15" customWidth="1"/>
    <col min="3589" max="3589" width="12.5703125" style="15" customWidth="1"/>
    <col min="3590" max="3590" width="6.85546875" style="15" customWidth="1"/>
    <col min="3591" max="3841" width="16.5703125" style="15"/>
    <col min="3842" max="3842" width="14.140625" style="15" customWidth="1"/>
    <col min="3843" max="3844" width="16.5703125" style="15" customWidth="1"/>
    <col min="3845" max="3845" width="12.5703125" style="15" customWidth="1"/>
    <col min="3846" max="3846" width="6.85546875" style="15" customWidth="1"/>
    <col min="3847" max="4097" width="16.5703125" style="15"/>
    <col min="4098" max="4098" width="14.140625" style="15" customWidth="1"/>
    <col min="4099" max="4100" width="16.5703125" style="15" customWidth="1"/>
    <col min="4101" max="4101" width="12.5703125" style="15" customWidth="1"/>
    <col min="4102" max="4102" width="6.85546875" style="15" customWidth="1"/>
    <col min="4103" max="4353" width="16.5703125" style="15"/>
    <col min="4354" max="4354" width="14.140625" style="15" customWidth="1"/>
    <col min="4355" max="4356" width="16.5703125" style="15" customWidth="1"/>
    <col min="4357" max="4357" width="12.5703125" style="15" customWidth="1"/>
    <col min="4358" max="4358" width="6.85546875" style="15" customWidth="1"/>
    <col min="4359" max="4609" width="16.5703125" style="15"/>
    <col min="4610" max="4610" width="14.140625" style="15" customWidth="1"/>
    <col min="4611" max="4612" width="16.5703125" style="15" customWidth="1"/>
    <col min="4613" max="4613" width="12.5703125" style="15" customWidth="1"/>
    <col min="4614" max="4614" width="6.85546875" style="15" customWidth="1"/>
    <col min="4615" max="4865" width="16.5703125" style="15"/>
    <col min="4866" max="4866" width="14.140625" style="15" customWidth="1"/>
    <col min="4867" max="4868" width="16.5703125" style="15" customWidth="1"/>
    <col min="4869" max="4869" width="12.5703125" style="15" customWidth="1"/>
    <col min="4870" max="4870" width="6.85546875" style="15" customWidth="1"/>
    <col min="4871" max="5121" width="16.5703125" style="15"/>
    <col min="5122" max="5122" width="14.140625" style="15" customWidth="1"/>
    <col min="5123" max="5124" width="16.5703125" style="15" customWidth="1"/>
    <col min="5125" max="5125" width="12.5703125" style="15" customWidth="1"/>
    <col min="5126" max="5126" width="6.85546875" style="15" customWidth="1"/>
    <col min="5127" max="5377" width="16.5703125" style="15"/>
    <col min="5378" max="5378" width="14.140625" style="15" customWidth="1"/>
    <col min="5379" max="5380" width="16.5703125" style="15" customWidth="1"/>
    <col min="5381" max="5381" width="12.5703125" style="15" customWidth="1"/>
    <col min="5382" max="5382" width="6.85546875" style="15" customWidth="1"/>
    <col min="5383" max="5633" width="16.5703125" style="15"/>
    <col min="5634" max="5634" width="14.140625" style="15" customWidth="1"/>
    <col min="5635" max="5636" width="16.5703125" style="15" customWidth="1"/>
    <col min="5637" max="5637" width="12.5703125" style="15" customWidth="1"/>
    <col min="5638" max="5638" width="6.85546875" style="15" customWidth="1"/>
    <col min="5639" max="5889" width="16.5703125" style="15"/>
    <col min="5890" max="5890" width="14.140625" style="15" customWidth="1"/>
    <col min="5891" max="5892" width="16.5703125" style="15" customWidth="1"/>
    <col min="5893" max="5893" width="12.5703125" style="15" customWidth="1"/>
    <col min="5894" max="5894" width="6.85546875" style="15" customWidth="1"/>
    <col min="5895" max="6145" width="16.5703125" style="15"/>
    <col min="6146" max="6146" width="14.140625" style="15" customWidth="1"/>
    <col min="6147" max="6148" width="16.5703125" style="15" customWidth="1"/>
    <col min="6149" max="6149" width="12.5703125" style="15" customWidth="1"/>
    <col min="6150" max="6150" width="6.85546875" style="15" customWidth="1"/>
    <col min="6151" max="6401" width="16.5703125" style="15"/>
    <col min="6402" max="6402" width="14.140625" style="15" customWidth="1"/>
    <col min="6403" max="6404" width="16.5703125" style="15" customWidth="1"/>
    <col min="6405" max="6405" width="12.5703125" style="15" customWidth="1"/>
    <col min="6406" max="6406" width="6.85546875" style="15" customWidth="1"/>
    <col min="6407" max="6657" width="16.5703125" style="15"/>
    <col min="6658" max="6658" width="14.140625" style="15" customWidth="1"/>
    <col min="6659" max="6660" width="16.5703125" style="15" customWidth="1"/>
    <col min="6661" max="6661" width="12.5703125" style="15" customWidth="1"/>
    <col min="6662" max="6662" width="6.85546875" style="15" customWidth="1"/>
    <col min="6663" max="6913" width="16.5703125" style="15"/>
    <col min="6914" max="6914" width="14.140625" style="15" customWidth="1"/>
    <col min="6915" max="6916" width="16.5703125" style="15" customWidth="1"/>
    <col min="6917" max="6917" width="12.5703125" style="15" customWidth="1"/>
    <col min="6918" max="6918" width="6.85546875" style="15" customWidth="1"/>
    <col min="6919" max="7169" width="16.5703125" style="15"/>
    <col min="7170" max="7170" width="14.140625" style="15" customWidth="1"/>
    <col min="7171" max="7172" width="16.5703125" style="15" customWidth="1"/>
    <col min="7173" max="7173" width="12.5703125" style="15" customWidth="1"/>
    <col min="7174" max="7174" width="6.85546875" style="15" customWidth="1"/>
    <col min="7175" max="7425" width="16.5703125" style="15"/>
    <col min="7426" max="7426" width="14.140625" style="15" customWidth="1"/>
    <col min="7427" max="7428" width="16.5703125" style="15" customWidth="1"/>
    <col min="7429" max="7429" width="12.5703125" style="15" customWidth="1"/>
    <col min="7430" max="7430" width="6.85546875" style="15" customWidth="1"/>
    <col min="7431" max="7681" width="16.5703125" style="15"/>
    <col min="7682" max="7682" width="14.140625" style="15" customWidth="1"/>
    <col min="7683" max="7684" width="16.5703125" style="15" customWidth="1"/>
    <col min="7685" max="7685" width="12.5703125" style="15" customWidth="1"/>
    <col min="7686" max="7686" width="6.85546875" style="15" customWidth="1"/>
    <col min="7687" max="7937" width="16.5703125" style="15"/>
    <col min="7938" max="7938" width="14.140625" style="15" customWidth="1"/>
    <col min="7939" max="7940" width="16.5703125" style="15" customWidth="1"/>
    <col min="7941" max="7941" width="12.5703125" style="15" customWidth="1"/>
    <col min="7942" max="7942" width="6.85546875" style="15" customWidth="1"/>
    <col min="7943" max="8193" width="16.5703125" style="15"/>
    <col min="8194" max="8194" width="14.140625" style="15" customWidth="1"/>
    <col min="8195" max="8196" width="16.5703125" style="15" customWidth="1"/>
    <col min="8197" max="8197" width="12.5703125" style="15" customWidth="1"/>
    <col min="8198" max="8198" width="6.85546875" style="15" customWidth="1"/>
    <col min="8199" max="8449" width="16.5703125" style="15"/>
    <col min="8450" max="8450" width="14.140625" style="15" customWidth="1"/>
    <col min="8451" max="8452" width="16.5703125" style="15" customWidth="1"/>
    <col min="8453" max="8453" width="12.5703125" style="15" customWidth="1"/>
    <col min="8454" max="8454" width="6.85546875" style="15" customWidth="1"/>
    <col min="8455" max="8705" width="16.5703125" style="15"/>
    <col min="8706" max="8706" width="14.140625" style="15" customWidth="1"/>
    <col min="8707" max="8708" width="16.5703125" style="15" customWidth="1"/>
    <col min="8709" max="8709" width="12.5703125" style="15" customWidth="1"/>
    <col min="8710" max="8710" width="6.85546875" style="15" customWidth="1"/>
    <col min="8711" max="8961" width="16.5703125" style="15"/>
    <col min="8962" max="8962" width="14.140625" style="15" customWidth="1"/>
    <col min="8963" max="8964" width="16.5703125" style="15" customWidth="1"/>
    <col min="8965" max="8965" width="12.5703125" style="15" customWidth="1"/>
    <col min="8966" max="8966" width="6.85546875" style="15" customWidth="1"/>
    <col min="8967" max="9217" width="16.5703125" style="15"/>
    <col min="9218" max="9218" width="14.140625" style="15" customWidth="1"/>
    <col min="9219" max="9220" width="16.5703125" style="15" customWidth="1"/>
    <col min="9221" max="9221" width="12.5703125" style="15" customWidth="1"/>
    <col min="9222" max="9222" width="6.85546875" style="15" customWidth="1"/>
    <col min="9223" max="9473" width="16.5703125" style="15"/>
    <col min="9474" max="9474" width="14.140625" style="15" customWidth="1"/>
    <col min="9475" max="9476" width="16.5703125" style="15" customWidth="1"/>
    <col min="9477" max="9477" width="12.5703125" style="15" customWidth="1"/>
    <col min="9478" max="9478" width="6.85546875" style="15" customWidth="1"/>
    <col min="9479" max="9729" width="16.5703125" style="15"/>
    <col min="9730" max="9730" width="14.140625" style="15" customWidth="1"/>
    <col min="9731" max="9732" width="16.5703125" style="15" customWidth="1"/>
    <col min="9733" max="9733" width="12.5703125" style="15" customWidth="1"/>
    <col min="9734" max="9734" width="6.85546875" style="15" customWidth="1"/>
    <col min="9735" max="9985" width="16.5703125" style="15"/>
    <col min="9986" max="9986" width="14.140625" style="15" customWidth="1"/>
    <col min="9987" max="9988" width="16.5703125" style="15" customWidth="1"/>
    <col min="9989" max="9989" width="12.5703125" style="15" customWidth="1"/>
    <col min="9990" max="9990" width="6.85546875" style="15" customWidth="1"/>
    <col min="9991" max="10241" width="16.5703125" style="15"/>
    <col min="10242" max="10242" width="14.140625" style="15" customWidth="1"/>
    <col min="10243" max="10244" width="16.5703125" style="15" customWidth="1"/>
    <col min="10245" max="10245" width="12.5703125" style="15" customWidth="1"/>
    <col min="10246" max="10246" width="6.85546875" style="15" customWidth="1"/>
    <col min="10247" max="10497" width="16.5703125" style="15"/>
    <col min="10498" max="10498" width="14.140625" style="15" customWidth="1"/>
    <col min="10499" max="10500" width="16.5703125" style="15" customWidth="1"/>
    <col min="10501" max="10501" width="12.5703125" style="15" customWidth="1"/>
    <col min="10502" max="10502" width="6.85546875" style="15" customWidth="1"/>
    <col min="10503" max="10753" width="16.5703125" style="15"/>
    <col min="10754" max="10754" width="14.140625" style="15" customWidth="1"/>
    <col min="10755" max="10756" width="16.5703125" style="15" customWidth="1"/>
    <col min="10757" max="10757" width="12.5703125" style="15" customWidth="1"/>
    <col min="10758" max="10758" width="6.85546875" style="15" customWidth="1"/>
    <col min="10759" max="11009" width="16.5703125" style="15"/>
    <col min="11010" max="11010" width="14.140625" style="15" customWidth="1"/>
    <col min="11011" max="11012" width="16.5703125" style="15" customWidth="1"/>
    <col min="11013" max="11013" width="12.5703125" style="15" customWidth="1"/>
    <col min="11014" max="11014" width="6.85546875" style="15" customWidth="1"/>
    <col min="11015" max="11265" width="16.5703125" style="15"/>
    <col min="11266" max="11266" width="14.140625" style="15" customWidth="1"/>
    <col min="11267" max="11268" width="16.5703125" style="15" customWidth="1"/>
    <col min="11269" max="11269" width="12.5703125" style="15" customWidth="1"/>
    <col min="11270" max="11270" width="6.85546875" style="15" customWidth="1"/>
    <col min="11271" max="11521" width="16.5703125" style="15"/>
    <col min="11522" max="11522" width="14.140625" style="15" customWidth="1"/>
    <col min="11523" max="11524" width="16.5703125" style="15" customWidth="1"/>
    <col min="11525" max="11525" width="12.5703125" style="15" customWidth="1"/>
    <col min="11526" max="11526" width="6.85546875" style="15" customWidth="1"/>
    <col min="11527" max="11777" width="16.5703125" style="15"/>
    <col min="11778" max="11778" width="14.140625" style="15" customWidth="1"/>
    <col min="11779" max="11780" width="16.5703125" style="15" customWidth="1"/>
    <col min="11781" max="11781" width="12.5703125" style="15" customWidth="1"/>
    <col min="11782" max="11782" width="6.85546875" style="15" customWidth="1"/>
    <col min="11783" max="12033" width="16.5703125" style="15"/>
    <col min="12034" max="12034" width="14.140625" style="15" customWidth="1"/>
    <col min="12035" max="12036" width="16.5703125" style="15" customWidth="1"/>
    <col min="12037" max="12037" width="12.5703125" style="15" customWidth="1"/>
    <col min="12038" max="12038" width="6.85546875" style="15" customWidth="1"/>
    <col min="12039" max="12289" width="16.5703125" style="15"/>
    <col min="12290" max="12290" width="14.140625" style="15" customWidth="1"/>
    <col min="12291" max="12292" width="16.5703125" style="15" customWidth="1"/>
    <col min="12293" max="12293" width="12.5703125" style="15" customWidth="1"/>
    <col min="12294" max="12294" width="6.85546875" style="15" customWidth="1"/>
    <col min="12295" max="12545" width="16.5703125" style="15"/>
    <col min="12546" max="12546" width="14.140625" style="15" customWidth="1"/>
    <col min="12547" max="12548" width="16.5703125" style="15" customWidth="1"/>
    <col min="12549" max="12549" width="12.5703125" style="15" customWidth="1"/>
    <col min="12550" max="12550" width="6.85546875" style="15" customWidth="1"/>
    <col min="12551" max="12801" width="16.5703125" style="15"/>
    <col min="12802" max="12802" width="14.140625" style="15" customWidth="1"/>
    <col min="12803" max="12804" width="16.5703125" style="15" customWidth="1"/>
    <col min="12805" max="12805" width="12.5703125" style="15" customWidth="1"/>
    <col min="12806" max="12806" width="6.85546875" style="15" customWidth="1"/>
    <col min="12807" max="13057" width="16.5703125" style="15"/>
    <col min="13058" max="13058" width="14.140625" style="15" customWidth="1"/>
    <col min="13059" max="13060" width="16.5703125" style="15" customWidth="1"/>
    <col min="13061" max="13061" width="12.5703125" style="15" customWidth="1"/>
    <col min="13062" max="13062" width="6.85546875" style="15" customWidth="1"/>
    <col min="13063" max="13313" width="16.5703125" style="15"/>
    <col min="13314" max="13314" width="14.140625" style="15" customWidth="1"/>
    <col min="13315" max="13316" width="16.5703125" style="15" customWidth="1"/>
    <col min="13317" max="13317" width="12.5703125" style="15" customWidth="1"/>
    <col min="13318" max="13318" width="6.85546875" style="15" customWidth="1"/>
    <col min="13319" max="13569" width="16.5703125" style="15"/>
    <col min="13570" max="13570" width="14.140625" style="15" customWidth="1"/>
    <col min="13571" max="13572" width="16.5703125" style="15" customWidth="1"/>
    <col min="13573" max="13573" width="12.5703125" style="15" customWidth="1"/>
    <col min="13574" max="13574" width="6.85546875" style="15" customWidth="1"/>
    <col min="13575" max="13825" width="16.5703125" style="15"/>
    <col min="13826" max="13826" width="14.140625" style="15" customWidth="1"/>
    <col min="13827" max="13828" width="16.5703125" style="15" customWidth="1"/>
    <col min="13829" max="13829" width="12.5703125" style="15" customWidth="1"/>
    <col min="13830" max="13830" width="6.85546875" style="15" customWidth="1"/>
    <col min="13831" max="14081" width="16.5703125" style="15"/>
    <col min="14082" max="14082" width="14.140625" style="15" customWidth="1"/>
    <col min="14083" max="14084" width="16.5703125" style="15" customWidth="1"/>
    <col min="14085" max="14085" width="12.5703125" style="15" customWidth="1"/>
    <col min="14086" max="14086" width="6.85546875" style="15" customWidth="1"/>
    <col min="14087" max="14337" width="16.5703125" style="15"/>
    <col min="14338" max="14338" width="14.140625" style="15" customWidth="1"/>
    <col min="14339" max="14340" width="16.5703125" style="15" customWidth="1"/>
    <col min="14341" max="14341" width="12.5703125" style="15" customWidth="1"/>
    <col min="14342" max="14342" width="6.85546875" style="15" customWidth="1"/>
    <col min="14343" max="14593" width="16.5703125" style="15"/>
    <col min="14594" max="14594" width="14.140625" style="15" customWidth="1"/>
    <col min="14595" max="14596" width="16.5703125" style="15" customWidth="1"/>
    <col min="14597" max="14597" width="12.5703125" style="15" customWidth="1"/>
    <col min="14598" max="14598" width="6.85546875" style="15" customWidth="1"/>
    <col min="14599" max="14849" width="16.5703125" style="15"/>
    <col min="14850" max="14850" width="14.140625" style="15" customWidth="1"/>
    <col min="14851" max="14852" width="16.5703125" style="15" customWidth="1"/>
    <col min="14853" max="14853" width="12.5703125" style="15" customWidth="1"/>
    <col min="14854" max="14854" width="6.85546875" style="15" customWidth="1"/>
    <col min="14855" max="15105" width="16.5703125" style="15"/>
    <col min="15106" max="15106" width="14.140625" style="15" customWidth="1"/>
    <col min="15107" max="15108" width="16.5703125" style="15" customWidth="1"/>
    <col min="15109" max="15109" width="12.5703125" style="15" customWidth="1"/>
    <col min="15110" max="15110" width="6.85546875" style="15" customWidth="1"/>
    <col min="15111" max="15361" width="16.5703125" style="15"/>
    <col min="15362" max="15362" width="14.140625" style="15" customWidth="1"/>
    <col min="15363" max="15364" width="16.5703125" style="15" customWidth="1"/>
    <col min="15365" max="15365" width="12.5703125" style="15" customWidth="1"/>
    <col min="15366" max="15366" width="6.85546875" style="15" customWidth="1"/>
    <col min="15367" max="15617" width="16.5703125" style="15"/>
    <col min="15618" max="15618" width="14.140625" style="15" customWidth="1"/>
    <col min="15619" max="15620" width="16.5703125" style="15" customWidth="1"/>
    <col min="15621" max="15621" width="12.5703125" style="15" customWidth="1"/>
    <col min="15622" max="15622" width="6.85546875" style="15" customWidth="1"/>
    <col min="15623" max="15873" width="16.5703125" style="15"/>
    <col min="15874" max="15874" width="14.140625" style="15" customWidth="1"/>
    <col min="15875" max="15876" width="16.5703125" style="15" customWidth="1"/>
    <col min="15877" max="15877" width="12.5703125" style="15" customWidth="1"/>
    <col min="15878" max="15878" width="6.85546875" style="15" customWidth="1"/>
    <col min="15879" max="16129" width="16.5703125" style="15"/>
    <col min="16130" max="16130" width="14.140625" style="15" customWidth="1"/>
    <col min="16131" max="16132" width="16.5703125" style="15" customWidth="1"/>
    <col min="16133" max="16133" width="12.5703125" style="15" customWidth="1"/>
    <col min="16134" max="16134" width="6.85546875" style="15" customWidth="1"/>
    <col min="16135" max="16384" width="16.5703125" style="15"/>
  </cols>
  <sheetData>
    <row r="1" spans="1:30">
      <c r="B1" s="21">
        <v>402.74</v>
      </c>
      <c r="Y1" s="22"/>
    </row>
    <row r="2" spans="1:30" ht="15.75" customHeight="1">
      <c r="B2" s="21">
        <v>402.74</v>
      </c>
      <c r="C2" s="250" t="s">
        <v>123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30">
      <c r="B3" s="21">
        <v>402.74</v>
      </c>
      <c r="D3" s="263"/>
      <c r="E3" s="263"/>
      <c r="F3" s="263"/>
      <c r="G3" s="263"/>
      <c r="H3" s="263"/>
      <c r="I3" s="263"/>
      <c r="J3" s="251"/>
      <c r="K3" s="251"/>
      <c r="L3" s="251"/>
      <c r="M3" s="251"/>
      <c r="N3" s="251"/>
      <c r="O3" s="23"/>
      <c r="P3" s="23"/>
      <c r="S3" s="172" t="s">
        <v>9</v>
      </c>
      <c r="AB3" s="251"/>
      <c r="AC3" s="251"/>
    </row>
    <row r="4" spans="1:30" ht="12.75" customHeight="1">
      <c r="A4" s="252" t="s">
        <v>0</v>
      </c>
      <c r="B4" s="252" t="s">
        <v>66</v>
      </c>
      <c r="C4" s="253" t="s">
        <v>1</v>
      </c>
      <c r="D4" s="254"/>
      <c r="E4" s="255"/>
      <c r="F4" s="264" t="s">
        <v>82</v>
      </c>
      <c r="G4" s="253" t="s">
        <v>10</v>
      </c>
      <c r="H4" s="254"/>
      <c r="I4" s="254"/>
      <c r="J4" s="253" t="s">
        <v>11</v>
      </c>
      <c r="K4" s="254"/>
      <c r="L4" s="254"/>
      <c r="M4" s="252" t="s">
        <v>12</v>
      </c>
      <c r="N4" s="252"/>
      <c r="O4" s="252"/>
      <c r="P4" s="261" t="s">
        <v>41</v>
      </c>
      <c r="Q4" s="261"/>
      <c r="R4" s="261"/>
      <c r="S4" s="249" t="s">
        <v>111</v>
      </c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30">
      <c r="A5" s="252"/>
      <c r="B5" s="252"/>
      <c r="C5" s="256"/>
      <c r="D5" s="257"/>
      <c r="E5" s="258"/>
      <c r="F5" s="265"/>
      <c r="G5" s="259"/>
      <c r="H5" s="260"/>
      <c r="I5" s="260"/>
      <c r="J5" s="259"/>
      <c r="K5" s="260"/>
      <c r="L5" s="260"/>
      <c r="M5" s="252"/>
      <c r="N5" s="252"/>
      <c r="O5" s="252"/>
      <c r="P5" s="261"/>
      <c r="Q5" s="261"/>
      <c r="R5" s="261"/>
      <c r="S5" s="249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30">
      <c r="A6" s="252"/>
      <c r="B6" s="252"/>
      <c r="C6" s="252" t="s">
        <v>67</v>
      </c>
      <c r="D6" s="264" t="s">
        <v>3</v>
      </c>
      <c r="E6" s="264" t="s">
        <v>68</v>
      </c>
      <c r="F6" s="265"/>
      <c r="G6" s="264" t="s">
        <v>5</v>
      </c>
      <c r="H6" s="252" t="s">
        <v>14</v>
      </c>
      <c r="I6" s="262"/>
      <c r="J6" s="264" t="s">
        <v>5</v>
      </c>
      <c r="K6" s="252" t="s">
        <v>14</v>
      </c>
      <c r="L6" s="262"/>
      <c r="M6" s="252" t="s">
        <v>5</v>
      </c>
      <c r="N6" s="252" t="s">
        <v>14</v>
      </c>
      <c r="O6" s="252"/>
      <c r="P6" s="252" t="s">
        <v>5</v>
      </c>
      <c r="Q6" s="252" t="s">
        <v>14</v>
      </c>
      <c r="R6" s="252"/>
      <c r="S6" s="249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30" ht="38.25" customHeight="1">
      <c r="A7" s="252"/>
      <c r="B7" s="252"/>
      <c r="C7" s="252"/>
      <c r="D7" s="266"/>
      <c r="E7" s="266"/>
      <c r="F7" s="266"/>
      <c r="G7" s="266"/>
      <c r="H7" s="25" t="s">
        <v>6</v>
      </c>
      <c r="I7" s="26" t="s">
        <v>7</v>
      </c>
      <c r="J7" s="266"/>
      <c r="K7" s="25" t="s">
        <v>6</v>
      </c>
      <c r="L7" s="26" t="s">
        <v>7</v>
      </c>
      <c r="M7" s="252"/>
      <c r="N7" s="27" t="s">
        <v>6</v>
      </c>
      <c r="O7" s="27" t="s">
        <v>7</v>
      </c>
      <c r="P7" s="252"/>
      <c r="Q7" s="27" t="s">
        <v>6</v>
      </c>
      <c r="R7" s="27" t="s">
        <v>7</v>
      </c>
      <c r="S7" s="249"/>
      <c r="T7" s="28"/>
      <c r="U7" s="28"/>
      <c r="V7" s="28"/>
      <c r="W7" s="24"/>
      <c r="X7" s="28"/>
      <c r="Y7" s="28"/>
      <c r="Z7" s="24"/>
      <c r="AA7" s="24"/>
      <c r="AB7" s="24"/>
      <c r="AC7" s="24"/>
    </row>
    <row r="8" spans="1:30" ht="26.25">
      <c r="A8" s="29">
        <v>1</v>
      </c>
      <c r="B8" s="30" t="s">
        <v>69</v>
      </c>
      <c r="C8" s="200" t="s">
        <v>45</v>
      </c>
      <c r="D8" s="201">
        <v>36</v>
      </c>
      <c r="E8" s="202"/>
      <c r="F8" s="203">
        <f>[1]МКД!$H$197</f>
        <v>66</v>
      </c>
      <c r="G8" s="34">
        <f t="shared" ref="G8:G42" si="0">H8+I8</f>
        <v>5064.76512</v>
      </c>
      <c r="H8" s="34">
        <v>2749.9126999999999</v>
      </c>
      <c r="I8" s="35">
        <v>2314.8524200000002</v>
      </c>
      <c r="J8" s="36">
        <f t="shared" ref="J8:J42" si="1">K8+L8</f>
        <v>2490.2107900000001</v>
      </c>
      <c r="K8" s="36">
        <v>1960.2956200000001</v>
      </c>
      <c r="L8" s="157">
        <v>529.91516999999999</v>
      </c>
      <c r="M8" s="36">
        <f t="shared" ref="M8:M42" si="2">N8+O8</f>
        <v>1269.5626200000002</v>
      </c>
      <c r="N8" s="36">
        <v>1145.6481100000001</v>
      </c>
      <c r="O8" s="36">
        <v>123.91451000000001</v>
      </c>
      <c r="P8" s="197">
        <f t="shared" ref="P8:P42" si="3">Q8+R8</f>
        <v>2929.7799999999997</v>
      </c>
      <c r="Q8" s="195">
        <v>1213.49</v>
      </c>
      <c r="R8" s="195">
        <v>1716.29</v>
      </c>
      <c r="S8" s="204">
        <f t="shared" ref="S8:S42" si="4">P8/F8</f>
        <v>44.390606060606054</v>
      </c>
      <c r="T8" s="38"/>
      <c r="U8" s="38"/>
      <c r="V8" s="38"/>
      <c r="W8" s="39"/>
      <c r="X8" s="39"/>
      <c r="Y8" s="40"/>
      <c r="Z8" s="39"/>
      <c r="AA8" s="39"/>
      <c r="AB8" s="39"/>
      <c r="AC8" s="39"/>
      <c r="AD8" s="22"/>
    </row>
    <row r="9" spans="1:30" ht="26.25">
      <c r="A9" s="29">
        <v>2</v>
      </c>
      <c r="B9" s="30" t="s">
        <v>69</v>
      </c>
      <c r="C9" s="41" t="s">
        <v>71</v>
      </c>
      <c r="D9" s="162">
        <v>2</v>
      </c>
      <c r="E9" s="159"/>
      <c r="F9" s="107">
        <f>[1]МКД!$H$209</f>
        <v>169</v>
      </c>
      <c r="G9" s="34">
        <f t="shared" si="0"/>
        <v>2934.3228999999997</v>
      </c>
      <c r="H9" s="34">
        <v>554.18350999999996</v>
      </c>
      <c r="I9" s="35">
        <v>2380.1393899999998</v>
      </c>
      <c r="J9" s="36">
        <f t="shared" si="1"/>
        <v>2806.0260400000002</v>
      </c>
      <c r="K9" s="36">
        <v>1811.3063400000001</v>
      </c>
      <c r="L9" s="42">
        <v>994.71969999999999</v>
      </c>
      <c r="M9" s="36">
        <f t="shared" si="2"/>
        <v>2204.5998099999997</v>
      </c>
      <c r="N9" s="36">
        <v>826.05844000000002</v>
      </c>
      <c r="O9" s="36">
        <v>1378.5413699999999</v>
      </c>
      <c r="P9" s="36">
        <f t="shared" si="3"/>
        <v>2255.1999999999998</v>
      </c>
      <c r="Q9" s="37">
        <v>845.68</v>
      </c>
      <c r="R9" s="37">
        <v>1409.52</v>
      </c>
      <c r="S9" s="163">
        <f t="shared" si="4"/>
        <v>13.344378698224851</v>
      </c>
      <c r="T9" s="38"/>
      <c r="U9" s="38"/>
      <c r="V9" s="38"/>
      <c r="W9" s="38"/>
      <c r="X9" s="39"/>
      <c r="Y9" s="39"/>
      <c r="Z9" s="39"/>
      <c r="AA9" s="39"/>
      <c r="AB9" s="39"/>
      <c r="AC9" s="39"/>
    </row>
    <row r="10" spans="1:30" ht="26.25">
      <c r="A10" s="29">
        <v>3</v>
      </c>
      <c r="B10" s="30" t="s">
        <v>69</v>
      </c>
      <c r="C10" s="56" t="s">
        <v>36</v>
      </c>
      <c r="D10" s="59">
        <v>29</v>
      </c>
      <c r="E10" s="32" t="s">
        <v>21</v>
      </c>
      <c r="F10" s="107">
        <f>[1]МКД!$H$203</f>
        <v>126</v>
      </c>
      <c r="G10" s="34">
        <f t="shared" si="0"/>
        <v>1801.2815000000001</v>
      </c>
      <c r="H10" s="34">
        <v>680.05530999999996</v>
      </c>
      <c r="I10" s="35">
        <v>1121.2261900000001</v>
      </c>
      <c r="J10" s="36">
        <f t="shared" si="1"/>
        <v>2551.3580400000001</v>
      </c>
      <c r="K10" s="36">
        <v>1780.0354500000001</v>
      </c>
      <c r="L10" s="42">
        <v>771.32258999999999</v>
      </c>
      <c r="M10" s="36">
        <f t="shared" si="2"/>
        <v>1977.1246100000001</v>
      </c>
      <c r="N10" s="36">
        <v>819.46812</v>
      </c>
      <c r="O10" s="36">
        <v>1157.6564900000001</v>
      </c>
      <c r="P10" s="36">
        <f t="shared" si="3"/>
        <v>2026.79</v>
      </c>
      <c r="Q10" s="37">
        <v>870.39</v>
      </c>
      <c r="R10" s="37">
        <v>1156.4000000000001</v>
      </c>
      <c r="S10" s="163">
        <f t="shared" si="4"/>
        <v>16.08563492063492</v>
      </c>
      <c r="T10" s="38"/>
      <c r="U10" s="38"/>
      <c r="V10" s="38"/>
      <c r="W10" s="38"/>
      <c r="X10" s="39"/>
      <c r="Y10" s="40"/>
      <c r="Z10" s="39"/>
      <c r="AA10" s="39"/>
      <c r="AB10" s="39"/>
      <c r="AC10" s="39"/>
    </row>
    <row r="11" spans="1:30" ht="26.25">
      <c r="A11" s="29">
        <v>4</v>
      </c>
      <c r="B11" s="30" t="s">
        <v>69</v>
      </c>
      <c r="C11" s="56" t="s">
        <v>76</v>
      </c>
      <c r="D11" s="57">
        <v>2</v>
      </c>
      <c r="E11" s="67"/>
      <c r="F11" s="107">
        <f>[1]МКД!$H$226</f>
        <v>68</v>
      </c>
      <c r="G11" s="34">
        <f t="shared" si="0"/>
        <v>1556.1732500000001</v>
      </c>
      <c r="H11" s="34">
        <v>808.61067000000003</v>
      </c>
      <c r="I11" s="35">
        <v>747.56258000000003</v>
      </c>
      <c r="J11" s="36">
        <f t="shared" si="1"/>
        <v>2526.49665</v>
      </c>
      <c r="K11" s="36">
        <v>1621.4177099999999</v>
      </c>
      <c r="L11" s="42">
        <v>905.07893999999999</v>
      </c>
      <c r="M11" s="36">
        <f t="shared" si="2"/>
        <v>1745.3340600000001</v>
      </c>
      <c r="N11" s="36">
        <v>644.77326000000005</v>
      </c>
      <c r="O11" s="36">
        <v>1100.5608</v>
      </c>
      <c r="P11" s="36">
        <f t="shared" si="3"/>
        <v>1796.37</v>
      </c>
      <c r="Q11" s="37">
        <v>690.78</v>
      </c>
      <c r="R11" s="37">
        <v>1105.5899999999999</v>
      </c>
      <c r="S11" s="163">
        <f t="shared" si="4"/>
        <v>26.417205882352938</v>
      </c>
      <c r="T11" s="38"/>
      <c r="U11" s="38"/>
      <c r="V11" s="38"/>
      <c r="W11" s="43"/>
      <c r="X11" s="39"/>
      <c r="Y11" s="39"/>
      <c r="Z11" s="39"/>
      <c r="AA11" s="39"/>
      <c r="AB11" s="39"/>
      <c r="AC11" s="39"/>
    </row>
    <row r="12" spans="1:30" ht="26.25">
      <c r="A12" s="29">
        <v>5</v>
      </c>
      <c r="B12" s="30" t="s">
        <v>69</v>
      </c>
      <c r="C12" s="56" t="s">
        <v>36</v>
      </c>
      <c r="D12" s="64">
        <v>29</v>
      </c>
      <c r="E12" s="19"/>
      <c r="F12" s="107">
        <f>[1]МКД!$H$202</f>
        <v>116</v>
      </c>
      <c r="G12" s="34">
        <f t="shared" si="0"/>
        <v>1489.8809999999999</v>
      </c>
      <c r="H12" s="34">
        <v>656.03612999999996</v>
      </c>
      <c r="I12" s="35">
        <v>833.84487000000001</v>
      </c>
      <c r="J12" s="36">
        <f t="shared" si="1"/>
        <v>2630.0987599999999</v>
      </c>
      <c r="K12" s="36">
        <v>1830.37032</v>
      </c>
      <c r="L12" s="42">
        <v>799.72843999999998</v>
      </c>
      <c r="M12" s="36">
        <f t="shared" si="2"/>
        <v>1542.3523799999998</v>
      </c>
      <c r="N12" s="36">
        <v>828.25888999999995</v>
      </c>
      <c r="O12" s="36">
        <v>714.09348999999997</v>
      </c>
      <c r="P12" s="36">
        <f t="shared" si="3"/>
        <v>1559.69</v>
      </c>
      <c r="Q12" s="37">
        <v>828.53</v>
      </c>
      <c r="R12" s="37">
        <v>731.16</v>
      </c>
      <c r="S12" s="163">
        <f t="shared" si="4"/>
        <v>13.445603448275863</v>
      </c>
      <c r="T12" s="48"/>
      <c r="U12" s="49"/>
      <c r="V12" s="50"/>
      <c r="W12" s="50"/>
      <c r="X12" s="51"/>
      <c r="Y12" s="51"/>
      <c r="Z12" s="51"/>
      <c r="AA12" s="52"/>
      <c r="AB12" s="52"/>
      <c r="AC12" s="52"/>
    </row>
    <row r="13" spans="1:30" ht="26.25">
      <c r="A13" s="29">
        <v>6</v>
      </c>
      <c r="B13" s="30" t="s">
        <v>69</v>
      </c>
      <c r="C13" s="56" t="s">
        <v>36</v>
      </c>
      <c r="D13" s="64">
        <v>35</v>
      </c>
      <c r="E13" s="60"/>
      <c r="F13" s="107">
        <f>[1]МКД!$H$204</f>
        <v>60</v>
      </c>
      <c r="G13" s="34">
        <f t="shared" si="0"/>
        <v>1251.2646500000001</v>
      </c>
      <c r="H13" s="53">
        <v>523.39993000000004</v>
      </c>
      <c r="I13" s="54">
        <v>727.86472000000003</v>
      </c>
      <c r="J13" s="36">
        <f t="shared" si="1"/>
        <v>1397.0937200000001</v>
      </c>
      <c r="K13" s="36">
        <v>576.53876000000002</v>
      </c>
      <c r="L13" s="42">
        <v>820.55496000000005</v>
      </c>
      <c r="M13" s="36">
        <f t="shared" si="2"/>
        <v>1374.7959999999998</v>
      </c>
      <c r="N13" s="36">
        <v>599.11793999999998</v>
      </c>
      <c r="O13" s="36">
        <v>775.67805999999996</v>
      </c>
      <c r="P13" s="36">
        <f t="shared" si="3"/>
        <v>1445.92</v>
      </c>
      <c r="Q13" s="37">
        <v>635.54999999999995</v>
      </c>
      <c r="R13" s="37">
        <v>810.37</v>
      </c>
      <c r="S13" s="163">
        <f t="shared" si="4"/>
        <v>24.098666666666666</v>
      </c>
      <c r="T13" s="55"/>
      <c r="U13" s="55"/>
      <c r="V13" s="55"/>
      <c r="W13" s="55"/>
      <c r="X13" s="51"/>
      <c r="Y13" s="51"/>
      <c r="Z13" s="51"/>
      <c r="AA13" s="52"/>
      <c r="AB13" s="52"/>
      <c r="AC13" s="39"/>
    </row>
    <row r="14" spans="1:30" ht="25.5">
      <c r="A14" s="29">
        <v>7</v>
      </c>
      <c r="B14" s="30" t="s">
        <v>69</v>
      </c>
      <c r="C14" s="56" t="s">
        <v>36</v>
      </c>
      <c r="D14" s="32">
        <v>27</v>
      </c>
      <c r="E14" s="60"/>
      <c r="F14" s="110">
        <f>[1]МКД!$H$199</f>
        <v>80</v>
      </c>
      <c r="G14" s="34">
        <f t="shared" si="0"/>
        <v>1776.9093600000001</v>
      </c>
      <c r="H14" s="34">
        <v>460.53561000000002</v>
      </c>
      <c r="I14" s="35">
        <v>1316.37375</v>
      </c>
      <c r="J14" s="36">
        <f t="shared" si="1"/>
        <v>865.87359000000004</v>
      </c>
      <c r="K14" s="36">
        <v>41.091189999999997</v>
      </c>
      <c r="L14" s="42">
        <v>824.78240000000005</v>
      </c>
      <c r="M14" s="36">
        <f t="shared" si="2"/>
        <v>1580.3514600000001</v>
      </c>
      <c r="N14" s="36">
        <v>433.12128999999999</v>
      </c>
      <c r="O14" s="36">
        <v>1147.23017</v>
      </c>
      <c r="P14" s="36">
        <f t="shared" si="3"/>
        <v>1442.1799999999998</v>
      </c>
      <c r="Q14" s="19">
        <v>441.88</v>
      </c>
      <c r="R14" s="19">
        <v>1000.3</v>
      </c>
      <c r="S14" s="163">
        <f t="shared" si="4"/>
        <v>18.027249999999999</v>
      </c>
      <c r="T14" s="55"/>
      <c r="U14" s="55"/>
      <c r="V14" s="55"/>
      <c r="W14" s="55"/>
      <c r="X14" s="51"/>
      <c r="Y14" s="51"/>
      <c r="Z14" s="51"/>
      <c r="AA14" s="52"/>
      <c r="AB14" s="52"/>
      <c r="AC14" s="58"/>
    </row>
    <row r="15" spans="1:30" ht="26.25">
      <c r="A15" s="29">
        <v>8</v>
      </c>
      <c r="B15" s="30" t="s">
        <v>69</v>
      </c>
      <c r="C15" s="56" t="s">
        <v>36</v>
      </c>
      <c r="D15" s="59">
        <v>23</v>
      </c>
      <c r="E15" s="60" t="s">
        <v>20</v>
      </c>
      <c r="F15" s="109">
        <f>[1]МКД!$H$198</f>
        <v>109</v>
      </c>
      <c r="G15" s="34">
        <f t="shared" si="0"/>
        <v>5929.7208599999994</v>
      </c>
      <c r="H15" s="34">
        <v>4939.3868199999997</v>
      </c>
      <c r="I15" s="35">
        <v>990.33403999999996</v>
      </c>
      <c r="J15" s="36">
        <f t="shared" si="1"/>
        <v>1275.37336</v>
      </c>
      <c r="K15" s="36">
        <v>698.36404000000005</v>
      </c>
      <c r="L15" s="42">
        <v>577.00932</v>
      </c>
      <c r="M15" s="36">
        <f t="shared" si="2"/>
        <v>1422.60104</v>
      </c>
      <c r="N15" s="36">
        <v>795.44149000000004</v>
      </c>
      <c r="O15" s="36">
        <v>627.15954999999997</v>
      </c>
      <c r="P15" s="36">
        <f t="shared" si="3"/>
        <v>1432.86</v>
      </c>
      <c r="Q15" s="19">
        <v>816.68</v>
      </c>
      <c r="R15" s="19">
        <v>616.17999999999995</v>
      </c>
      <c r="S15" s="163">
        <f t="shared" si="4"/>
        <v>13.145504587155962</v>
      </c>
      <c r="T15" s="55"/>
      <c r="U15" s="55"/>
      <c r="V15" s="55"/>
      <c r="W15" s="55"/>
      <c r="X15" s="51"/>
      <c r="Y15" s="51"/>
      <c r="Z15" s="51"/>
      <c r="AA15" s="52"/>
      <c r="AB15" s="52"/>
      <c r="AC15" s="39"/>
    </row>
    <row r="16" spans="1:30" ht="26.25">
      <c r="A16" s="29">
        <v>9</v>
      </c>
      <c r="B16" s="30" t="s">
        <v>69</v>
      </c>
      <c r="C16" s="56" t="s">
        <v>33</v>
      </c>
      <c r="D16" s="57">
        <v>6</v>
      </c>
      <c r="E16" s="57" t="s">
        <v>21</v>
      </c>
      <c r="F16" s="107">
        <f>[1]МКД!$H$225</f>
        <v>183</v>
      </c>
      <c r="G16" s="34">
        <f t="shared" si="0"/>
        <v>978.20379000000003</v>
      </c>
      <c r="H16" s="44">
        <v>593.08010000000002</v>
      </c>
      <c r="I16" s="45">
        <v>385.12369000000001</v>
      </c>
      <c r="J16" s="36">
        <f t="shared" si="1"/>
        <v>2105.3342199999997</v>
      </c>
      <c r="K16" s="46">
        <v>1629.54234</v>
      </c>
      <c r="L16" s="47">
        <v>475.79187999999999</v>
      </c>
      <c r="M16" s="36">
        <f t="shared" si="2"/>
        <v>1257.6069600000001</v>
      </c>
      <c r="N16" s="46">
        <v>739.67899</v>
      </c>
      <c r="O16" s="46">
        <v>517.92796999999996</v>
      </c>
      <c r="P16" s="36">
        <f t="shared" si="3"/>
        <v>1295.95</v>
      </c>
      <c r="Q16" s="37">
        <v>807.46</v>
      </c>
      <c r="R16" s="37">
        <v>488.49</v>
      </c>
      <c r="S16" s="163">
        <f t="shared" si="4"/>
        <v>7.0816939890710389</v>
      </c>
      <c r="T16" s="61"/>
      <c r="U16" s="62"/>
      <c r="V16" s="62"/>
      <c r="W16" s="62"/>
      <c r="X16" s="63"/>
      <c r="Y16" s="61"/>
      <c r="Z16" s="61"/>
      <c r="AA16" s="61"/>
      <c r="AB16" s="61"/>
      <c r="AC16" s="61"/>
    </row>
    <row r="17" spans="1:29" ht="26.25">
      <c r="A17" s="29">
        <v>10</v>
      </c>
      <c r="B17" s="30" t="s">
        <v>69</v>
      </c>
      <c r="C17" s="31" t="s">
        <v>19</v>
      </c>
      <c r="D17" s="32">
        <v>27</v>
      </c>
      <c r="E17" s="60" t="s">
        <v>20</v>
      </c>
      <c r="F17" s="107">
        <f>[1]МКД!$H$200</f>
        <v>60</v>
      </c>
      <c r="G17" s="34">
        <f t="shared" si="0"/>
        <v>948.48193000000003</v>
      </c>
      <c r="H17" s="34">
        <v>315.82191999999998</v>
      </c>
      <c r="I17" s="35">
        <v>632.66001000000006</v>
      </c>
      <c r="J17" s="36">
        <f t="shared" si="1"/>
        <v>1144.8807000000002</v>
      </c>
      <c r="K17" s="36">
        <v>360.02530000000002</v>
      </c>
      <c r="L17" s="42">
        <v>784.85540000000003</v>
      </c>
      <c r="M17" s="36">
        <f t="shared" si="2"/>
        <v>1139.19074</v>
      </c>
      <c r="N17" s="36">
        <v>385.64962000000003</v>
      </c>
      <c r="O17" s="36">
        <v>753.54111999999998</v>
      </c>
      <c r="P17" s="36">
        <f t="shared" si="3"/>
        <v>1195.48</v>
      </c>
      <c r="Q17" s="37">
        <v>434.83</v>
      </c>
      <c r="R17" s="37">
        <v>760.65</v>
      </c>
      <c r="S17" s="163">
        <f t="shared" si="4"/>
        <v>19.924666666666667</v>
      </c>
    </row>
    <row r="18" spans="1:29" ht="26.25">
      <c r="A18" s="29">
        <v>11</v>
      </c>
      <c r="B18" s="30" t="s">
        <v>69</v>
      </c>
      <c r="C18" s="56" t="s">
        <v>36</v>
      </c>
      <c r="D18" s="32">
        <v>27</v>
      </c>
      <c r="E18" s="32" t="s">
        <v>21</v>
      </c>
      <c r="F18" s="107">
        <f>[1]МКД!$H$201</f>
        <v>56</v>
      </c>
      <c r="G18" s="34">
        <f t="shared" si="0"/>
        <v>992.48108000000002</v>
      </c>
      <c r="H18" s="44">
        <v>377.89307000000002</v>
      </c>
      <c r="I18" s="45">
        <v>614.58801000000005</v>
      </c>
      <c r="J18" s="36">
        <f t="shared" si="1"/>
        <v>1060.1730400000001</v>
      </c>
      <c r="K18" s="46">
        <v>393.59717999999998</v>
      </c>
      <c r="L18" s="47">
        <v>666.57586000000003</v>
      </c>
      <c r="M18" s="36">
        <f t="shared" si="2"/>
        <v>1075.1086399999999</v>
      </c>
      <c r="N18" s="46">
        <v>399.85160999999999</v>
      </c>
      <c r="O18" s="46">
        <v>675.25702999999999</v>
      </c>
      <c r="P18" s="36">
        <f t="shared" si="3"/>
        <v>1126.6400000000001</v>
      </c>
      <c r="Q18" s="37">
        <v>429.57</v>
      </c>
      <c r="R18" s="37">
        <v>697.07</v>
      </c>
      <c r="S18" s="163">
        <f t="shared" si="4"/>
        <v>20.118571428571432</v>
      </c>
    </row>
    <row r="19" spans="1:29" ht="26.25">
      <c r="A19" s="29">
        <v>12</v>
      </c>
      <c r="B19" s="30" t="s">
        <v>69</v>
      </c>
      <c r="C19" s="56" t="s">
        <v>36</v>
      </c>
      <c r="D19" s="64">
        <v>37</v>
      </c>
      <c r="E19" s="161"/>
      <c r="F19" s="107">
        <f>[1]МКД!$H$205</f>
        <v>60</v>
      </c>
      <c r="G19" s="34">
        <f t="shared" si="0"/>
        <v>993.39929999999993</v>
      </c>
      <c r="H19" s="34">
        <v>280.17597999999998</v>
      </c>
      <c r="I19" s="35">
        <v>713.22331999999994</v>
      </c>
      <c r="J19" s="36">
        <f t="shared" si="1"/>
        <v>2077.2797099999998</v>
      </c>
      <c r="K19" s="36">
        <v>1414.79475</v>
      </c>
      <c r="L19" s="42">
        <v>662.48496</v>
      </c>
      <c r="M19" s="36">
        <f t="shared" si="2"/>
        <v>1073.6106600000001</v>
      </c>
      <c r="N19" s="36">
        <v>358.36349000000001</v>
      </c>
      <c r="O19" s="36">
        <v>715.24716999999998</v>
      </c>
      <c r="P19" s="36">
        <f t="shared" si="3"/>
        <v>1084.3800000000001</v>
      </c>
      <c r="Q19" s="37">
        <v>373.47</v>
      </c>
      <c r="R19" s="37">
        <v>710.91</v>
      </c>
      <c r="S19" s="163">
        <f t="shared" si="4"/>
        <v>18.073</v>
      </c>
    </row>
    <row r="20" spans="1:29" ht="25.5">
      <c r="A20" s="29">
        <v>13</v>
      </c>
      <c r="B20" s="30" t="s">
        <v>69</v>
      </c>
      <c r="C20" s="31" t="s">
        <v>59</v>
      </c>
      <c r="D20" s="32">
        <v>9</v>
      </c>
      <c r="E20" s="33"/>
      <c r="F20" s="108">
        <f>[1]МКД!$H$195</f>
        <v>60</v>
      </c>
      <c r="G20" s="34">
        <f t="shared" si="0"/>
        <v>693.80444</v>
      </c>
      <c r="H20" s="44">
        <v>231.38947999999999</v>
      </c>
      <c r="I20" s="45">
        <v>462.41496000000001</v>
      </c>
      <c r="J20" s="36">
        <f t="shared" si="1"/>
        <v>810.29345000000001</v>
      </c>
      <c r="K20" s="46">
        <v>294.29426999999998</v>
      </c>
      <c r="L20" s="47">
        <v>515.99918000000002</v>
      </c>
      <c r="M20" s="36">
        <f t="shared" si="2"/>
        <v>856.23572999999988</v>
      </c>
      <c r="N20" s="46">
        <v>313.65609999999998</v>
      </c>
      <c r="O20" s="46">
        <v>542.57962999999995</v>
      </c>
      <c r="P20" s="36">
        <f t="shared" si="3"/>
        <v>895.14400000000001</v>
      </c>
      <c r="Q20" s="37">
        <v>329.02</v>
      </c>
      <c r="R20" s="37">
        <v>566.12400000000002</v>
      </c>
      <c r="S20" s="163">
        <f t="shared" si="4"/>
        <v>14.919066666666668</v>
      </c>
    </row>
    <row r="21" spans="1:29" ht="26.25">
      <c r="A21" s="29">
        <v>14</v>
      </c>
      <c r="B21" s="30" t="s">
        <v>69</v>
      </c>
      <c r="C21" s="31" t="s">
        <v>19</v>
      </c>
      <c r="D21" s="32">
        <v>41</v>
      </c>
      <c r="E21" s="32" t="s">
        <v>21</v>
      </c>
      <c r="F21" s="107">
        <f>[1]МКД!$H$207</f>
        <v>68</v>
      </c>
      <c r="G21" s="34">
        <f t="shared" si="0"/>
        <v>1019.96109</v>
      </c>
      <c r="H21" s="34">
        <v>295.25959999999998</v>
      </c>
      <c r="I21" s="35">
        <v>724.70149000000004</v>
      </c>
      <c r="J21" s="36">
        <f t="shared" si="1"/>
        <v>890.19236000000001</v>
      </c>
      <c r="K21" s="36">
        <v>285.53008999999997</v>
      </c>
      <c r="L21" s="42">
        <v>604.66227000000003</v>
      </c>
      <c r="M21" s="36">
        <f t="shared" si="2"/>
        <v>844.54862000000003</v>
      </c>
      <c r="N21" s="36">
        <v>304.77177</v>
      </c>
      <c r="O21" s="36">
        <v>539.77684999999997</v>
      </c>
      <c r="P21" s="36">
        <f t="shared" si="3"/>
        <v>877.13999999999987</v>
      </c>
      <c r="Q21" s="37">
        <v>331.96</v>
      </c>
      <c r="R21" s="37">
        <v>545.17999999999995</v>
      </c>
      <c r="S21" s="163">
        <f t="shared" si="4"/>
        <v>12.899117647058821</v>
      </c>
    </row>
    <row r="22" spans="1:29" ht="26.25">
      <c r="A22" s="29">
        <v>15</v>
      </c>
      <c r="B22" s="30" t="s">
        <v>69</v>
      </c>
      <c r="C22" s="31" t="s">
        <v>75</v>
      </c>
      <c r="D22" s="32">
        <v>3</v>
      </c>
      <c r="E22" s="57" t="s">
        <v>20</v>
      </c>
      <c r="F22" s="107">
        <f>[1]МКД!$H$223</f>
        <v>47</v>
      </c>
      <c r="G22" s="34">
        <f t="shared" si="0"/>
        <v>585.23658999999998</v>
      </c>
      <c r="H22" s="34">
        <v>342.26871</v>
      </c>
      <c r="I22" s="35">
        <v>242.96788000000001</v>
      </c>
      <c r="J22" s="36">
        <f t="shared" si="1"/>
        <v>756.90933999999993</v>
      </c>
      <c r="K22" s="36">
        <v>462.18835999999999</v>
      </c>
      <c r="L22" s="42">
        <v>294.72098</v>
      </c>
      <c r="M22" s="36">
        <f t="shared" si="2"/>
        <v>494.48128999999994</v>
      </c>
      <c r="N22" s="36">
        <v>312.61631999999997</v>
      </c>
      <c r="O22" s="36">
        <v>181.86497</v>
      </c>
      <c r="P22" s="36">
        <f t="shared" si="3"/>
        <v>864.44</v>
      </c>
      <c r="Q22" s="37">
        <v>515.95000000000005</v>
      </c>
      <c r="R22" s="37">
        <v>348.49</v>
      </c>
      <c r="S22" s="163">
        <f t="shared" si="4"/>
        <v>18.392340425531916</v>
      </c>
    </row>
    <row r="23" spans="1:29" ht="26.25">
      <c r="A23" s="29">
        <v>16</v>
      </c>
      <c r="B23" s="30" t="s">
        <v>69</v>
      </c>
      <c r="C23" s="56" t="s">
        <v>71</v>
      </c>
      <c r="D23" s="64">
        <v>6</v>
      </c>
      <c r="E23" s="65"/>
      <c r="F23" s="107">
        <f>[1]МКД!$H$210</f>
        <v>133</v>
      </c>
      <c r="G23" s="34">
        <f t="shared" si="0"/>
        <v>1096.48225</v>
      </c>
      <c r="H23" s="34">
        <v>313.54820999999998</v>
      </c>
      <c r="I23" s="35">
        <v>782.93403999999998</v>
      </c>
      <c r="J23" s="36">
        <f t="shared" si="1"/>
        <v>770.63864999999998</v>
      </c>
      <c r="K23" s="36">
        <v>309.21037000000001</v>
      </c>
      <c r="L23" s="42">
        <v>461.42827999999997</v>
      </c>
      <c r="M23" s="36">
        <f t="shared" si="2"/>
        <v>762.11293999999998</v>
      </c>
      <c r="N23" s="36">
        <v>316.46021999999999</v>
      </c>
      <c r="O23" s="36">
        <v>445.65271999999999</v>
      </c>
      <c r="P23" s="36">
        <f t="shared" si="3"/>
        <v>757.31</v>
      </c>
      <c r="Q23" s="37">
        <v>324.33</v>
      </c>
      <c r="R23" s="37">
        <v>432.98</v>
      </c>
      <c r="S23" s="163">
        <f t="shared" si="4"/>
        <v>5.6940601503759396</v>
      </c>
    </row>
    <row r="24" spans="1:29" ht="26.25">
      <c r="A24" s="29">
        <v>17</v>
      </c>
      <c r="B24" s="30" t="s">
        <v>69</v>
      </c>
      <c r="C24" s="31" t="s">
        <v>55</v>
      </c>
      <c r="D24" s="32">
        <v>15</v>
      </c>
      <c r="E24" s="160"/>
      <c r="F24" s="107">
        <f>[1]МКД!$H$217</f>
        <v>48</v>
      </c>
      <c r="G24" s="34">
        <f t="shared" si="0"/>
        <v>661.48734999999999</v>
      </c>
      <c r="H24" s="34">
        <v>284.54367000000002</v>
      </c>
      <c r="I24" s="35">
        <v>376.94367999999997</v>
      </c>
      <c r="J24" s="36">
        <f t="shared" si="1"/>
        <v>704.09277999999995</v>
      </c>
      <c r="K24" s="36">
        <v>260.88902999999999</v>
      </c>
      <c r="L24" s="42">
        <v>443.20375000000001</v>
      </c>
      <c r="M24" s="36">
        <f t="shared" si="2"/>
        <v>739.49727000000007</v>
      </c>
      <c r="N24" s="36">
        <v>289.00576000000001</v>
      </c>
      <c r="O24" s="36">
        <v>450.49151000000001</v>
      </c>
      <c r="P24" s="36">
        <f t="shared" si="3"/>
        <v>747.9</v>
      </c>
      <c r="Q24" s="37">
        <v>284.56</v>
      </c>
      <c r="R24" s="37">
        <v>463.34</v>
      </c>
      <c r="S24" s="163">
        <f t="shared" si="4"/>
        <v>15.581249999999999</v>
      </c>
    </row>
    <row r="25" spans="1:29" ht="26.25">
      <c r="A25" s="29">
        <v>18</v>
      </c>
      <c r="B25" s="30" t="s">
        <v>69</v>
      </c>
      <c r="C25" s="31" t="s">
        <v>22</v>
      </c>
      <c r="D25" s="32">
        <v>22</v>
      </c>
      <c r="E25" s="33"/>
      <c r="F25" s="109">
        <f>[1]МКД!$H$196</f>
        <v>48</v>
      </c>
      <c r="G25" s="34">
        <f t="shared" si="0"/>
        <v>692.70463999999993</v>
      </c>
      <c r="H25" s="34">
        <v>147.67697999999999</v>
      </c>
      <c r="I25" s="35">
        <v>545.02765999999997</v>
      </c>
      <c r="J25" s="36">
        <f t="shared" si="1"/>
        <v>695.33757000000003</v>
      </c>
      <c r="K25" s="36">
        <v>179.81208000000001</v>
      </c>
      <c r="L25" s="42">
        <v>515.52548999999999</v>
      </c>
      <c r="M25" s="36">
        <f t="shared" si="2"/>
        <v>665.01081999999997</v>
      </c>
      <c r="N25" s="36">
        <v>245.91922</v>
      </c>
      <c r="O25" s="36">
        <v>419.09160000000003</v>
      </c>
      <c r="P25" s="36">
        <f t="shared" si="3"/>
        <v>699.36</v>
      </c>
      <c r="Q25" s="19">
        <v>249.81</v>
      </c>
      <c r="R25" s="19">
        <v>449.55</v>
      </c>
      <c r="S25" s="163">
        <f t="shared" si="4"/>
        <v>14.57</v>
      </c>
    </row>
    <row r="26" spans="1:29" ht="26.25">
      <c r="A26" s="29">
        <v>19</v>
      </c>
      <c r="B26" s="30" t="s">
        <v>69</v>
      </c>
      <c r="C26" s="31" t="s">
        <v>74</v>
      </c>
      <c r="D26" s="32">
        <v>32</v>
      </c>
      <c r="E26" s="32" t="s">
        <v>20</v>
      </c>
      <c r="F26" s="107">
        <f>[1]МКД!$H$222</f>
        <v>50</v>
      </c>
      <c r="G26" s="34">
        <f t="shared" si="0"/>
        <v>743.20330999999999</v>
      </c>
      <c r="H26" s="34">
        <v>327.9864</v>
      </c>
      <c r="I26" s="35">
        <v>415.21690999999998</v>
      </c>
      <c r="J26" s="36">
        <f t="shared" si="1"/>
        <v>762.60133999999994</v>
      </c>
      <c r="K26" s="36">
        <v>400.66910999999999</v>
      </c>
      <c r="L26" s="42">
        <v>361.93223</v>
      </c>
      <c r="M26" s="36">
        <f t="shared" si="2"/>
        <v>601.8717200000001</v>
      </c>
      <c r="N26" s="36">
        <v>262.35696000000002</v>
      </c>
      <c r="O26" s="36">
        <v>339.51476000000002</v>
      </c>
      <c r="P26" s="36">
        <f t="shared" si="3"/>
        <v>599.16</v>
      </c>
      <c r="Q26" s="37">
        <v>331.71</v>
      </c>
      <c r="R26" s="37">
        <v>267.45</v>
      </c>
      <c r="S26" s="163">
        <f t="shared" si="4"/>
        <v>11.9832</v>
      </c>
    </row>
    <row r="27" spans="1:29" ht="26.25">
      <c r="A27" s="29">
        <v>20</v>
      </c>
      <c r="B27" s="30" t="s">
        <v>69</v>
      </c>
      <c r="C27" s="56" t="s">
        <v>72</v>
      </c>
      <c r="D27" s="57">
        <v>10</v>
      </c>
      <c r="E27" s="57" t="s">
        <v>20</v>
      </c>
      <c r="F27" s="109">
        <f>[1]МКД!$H$213</f>
        <v>30</v>
      </c>
      <c r="G27" s="34">
        <f t="shared" si="0"/>
        <v>421.28057000000001</v>
      </c>
      <c r="H27" s="34">
        <v>290.46321</v>
      </c>
      <c r="I27" s="35">
        <v>130.81736000000001</v>
      </c>
      <c r="J27" s="36">
        <f t="shared" si="1"/>
        <v>452.29002000000003</v>
      </c>
      <c r="K27" s="36">
        <v>274.14888999999999</v>
      </c>
      <c r="L27" s="42">
        <v>178.14113</v>
      </c>
      <c r="M27" s="36">
        <f t="shared" si="2"/>
        <v>501.88738999999998</v>
      </c>
      <c r="N27" s="36">
        <v>293.95958000000002</v>
      </c>
      <c r="O27" s="36">
        <v>207.92780999999999</v>
      </c>
      <c r="P27" s="36">
        <f t="shared" si="3"/>
        <v>540.04</v>
      </c>
      <c r="Q27" s="37">
        <v>332.16</v>
      </c>
      <c r="R27" s="37">
        <v>207.88</v>
      </c>
      <c r="S27" s="163">
        <f t="shared" si="4"/>
        <v>18.001333333333331</v>
      </c>
    </row>
    <row r="28" spans="1:29" ht="26.25">
      <c r="A28" s="29">
        <v>21</v>
      </c>
      <c r="B28" s="30" t="s">
        <v>69</v>
      </c>
      <c r="C28" s="56" t="s">
        <v>72</v>
      </c>
      <c r="D28" s="32">
        <v>20</v>
      </c>
      <c r="E28" s="176"/>
      <c r="F28" s="107">
        <f>[1]МКД!$H$220</f>
        <v>36</v>
      </c>
      <c r="G28" s="34">
        <f t="shared" si="0"/>
        <v>387.18428</v>
      </c>
      <c r="H28" s="34">
        <v>167.82529</v>
      </c>
      <c r="I28" s="35">
        <v>219.35899000000001</v>
      </c>
      <c r="J28" s="36">
        <f t="shared" si="1"/>
        <v>466.86792000000003</v>
      </c>
      <c r="K28" s="36">
        <v>190.15061</v>
      </c>
      <c r="L28" s="42">
        <v>276.71731</v>
      </c>
      <c r="M28" s="36">
        <f t="shared" si="2"/>
        <v>502.52279999999996</v>
      </c>
      <c r="N28" s="36">
        <v>205.40548999999999</v>
      </c>
      <c r="O28" s="36">
        <v>297.11730999999997</v>
      </c>
      <c r="P28" s="36">
        <f t="shared" si="3"/>
        <v>519</v>
      </c>
      <c r="Q28" s="37">
        <v>221.84</v>
      </c>
      <c r="R28" s="37">
        <v>297.16000000000003</v>
      </c>
      <c r="S28" s="163">
        <f t="shared" si="4"/>
        <v>14.416666666666666</v>
      </c>
      <c r="T28" s="48"/>
      <c r="U28" s="49"/>
      <c r="V28" s="50"/>
      <c r="W28" s="50"/>
      <c r="X28" s="51"/>
      <c r="Y28" s="51"/>
      <c r="Z28" s="51"/>
      <c r="AA28" s="52"/>
      <c r="AB28" s="52"/>
      <c r="AC28" s="52"/>
    </row>
    <row r="29" spans="1:29" ht="25.5">
      <c r="A29" s="29">
        <v>22</v>
      </c>
      <c r="B29" s="30" t="s">
        <v>69</v>
      </c>
      <c r="C29" s="31" t="s">
        <v>55</v>
      </c>
      <c r="D29" s="32">
        <v>13</v>
      </c>
      <c r="E29" s="32"/>
      <c r="F29" s="110">
        <f>[1]МКД!$H$216</f>
        <v>48</v>
      </c>
      <c r="G29" s="34">
        <f t="shared" si="0"/>
        <v>336.75032999999996</v>
      </c>
      <c r="H29" s="34">
        <v>201.749</v>
      </c>
      <c r="I29" s="35">
        <v>135.00133</v>
      </c>
      <c r="J29" s="36">
        <f t="shared" si="1"/>
        <v>415.07173999999998</v>
      </c>
      <c r="K29" s="36">
        <v>233.50790000000001</v>
      </c>
      <c r="L29" s="42">
        <v>181.56384</v>
      </c>
      <c r="M29" s="36">
        <f t="shared" si="2"/>
        <v>473.12011999999999</v>
      </c>
      <c r="N29" s="36">
        <v>250.70473999999999</v>
      </c>
      <c r="O29" s="36">
        <v>222.41538</v>
      </c>
      <c r="P29" s="36">
        <f t="shared" si="3"/>
        <v>517.37</v>
      </c>
      <c r="Q29" s="37">
        <v>288.33999999999997</v>
      </c>
      <c r="R29" s="37">
        <v>229.03</v>
      </c>
      <c r="S29" s="163">
        <f t="shared" si="4"/>
        <v>10.778541666666667</v>
      </c>
      <c r="T29" s="55"/>
      <c r="U29" s="55"/>
      <c r="V29" s="55"/>
      <c r="W29" s="55"/>
      <c r="X29" s="51"/>
      <c r="Y29" s="51"/>
      <c r="Z29" s="51"/>
      <c r="AA29" s="52"/>
      <c r="AB29" s="52"/>
      <c r="AC29" s="39"/>
    </row>
    <row r="30" spans="1:29" ht="26.25">
      <c r="A30" s="29">
        <v>23</v>
      </c>
      <c r="B30" s="30" t="s">
        <v>69</v>
      </c>
      <c r="C30" s="31" t="s">
        <v>19</v>
      </c>
      <c r="D30" s="32">
        <v>46</v>
      </c>
      <c r="F30" s="107">
        <f>[1]МКД!$H$208</f>
        <v>26</v>
      </c>
      <c r="G30" s="34">
        <f t="shared" si="0"/>
        <v>278.06727000000001</v>
      </c>
      <c r="H30" s="44">
        <v>131.51737</v>
      </c>
      <c r="I30" s="45">
        <v>146.54990000000001</v>
      </c>
      <c r="J30" s="36">
        <f t="shared" si="1"/>
        <v>479.78493000000003</v>
      </c>
      <c r="K30" s="46">
        <v>239.81532999999999</v>
      </c>
      <c r="L30" s="47">
        <v>239.96960000000001</v>
      </c>
      <c r="M30" s="36">
        <f t="shared" si="2"/>
        <v>501.53216000000003</v>
      </c>
      <c r="N30" s="46">
        <v>241.36115000000001</v>
      </c>
      <c r="O30" s="46">
        <v>260.17101000000002</v>
      </c>
      <c r="P30" s="36">
        <f t="shared" si="3"/>
        <v>505.77</v>
      </c>
      <c r="Q30" s="37">
        <v>219.29</v>
      </c>
      <c r="R30" s="37">
        <v>286.48</v>
      </c>
      <c r="S30" s="163">
        <f t="shared" si="4"/>
        <v>19.452692307692306</v>
      </c>
      <c r="T30" s="55"/>
      <c r="U30" s="55"/>
      <c r="V30" s="55"/>
      <c r="W30" s="55"/>
      <c r="X30" s="51"/>
      <c r="Y30" s="51"/>
      <c r="Z30" s="51"/>
      <c r="AA30" s="52"/>
      <c r="AB30" s="52"/>
      <c r="AC30" s="58"/>
    </row>
    <row r="31" spans="1:29" ht="26.25">
      <c r="A31" s="29">
        <v>24</v>
      </c>
      <c r="B31" s="30" t="s">
        <v>69</v>
      </c>
      <c r="C31" s="31" t="s">
        <v>55</v>
      </c>
      <c r="D31" s="32">
        <v>18</v>
      </c>
      <c r="E31" s="33"/>
      <c r="F31" s="107">
        <f>[1]МКД!$H$219</f>
        <v>16</v>
      </c>
      <c r="G31" s="34">
        <f t="shared" si="0"/>
        <v>428.59325000000001</v>
      </c>
      <c r="H31" s="34">
        <v>160.07941</v>
      </c>
      <c r="I31" s="35">
        <v>268.51384000000002</v>
      </c>
      <c r="J31" s="36">
        <f t="shared" si="1"/>
        <v>539.87832000000003</v>
      </c>
      <c r="K31" s="36">
        <v>190.02999</v>
      </c>
      <c r="L31" s="42">
        <v>349.84832999999998</v>
      </c>
      <c r="M31" s="36">
        <f t="shared" si="2"/>
        <v>458.41771000000006</v>
      </c>
      <c r="N31" s="36">
        <v>159.28628</v>
      </c>
      <c r="O31" s="36">
        <v>299.13143000000002</v>
      </c>
      <c r="P31" s="36">
        <f t="shared" si="3"/>
        <v>425.6</v>
      </c>
      <c r="Q31" s="37">
        <v>140.43</v>
      </c>
      <c r="R31" s="37">
        <v>285.17</v>
      </c>
      <c r="S31" s="163">
        <f t="shared" si="4"/>
        <v>26.6</v>
      </c>
      <c r="T31" s="55"/>
      <c r="U31" s="55"/>
      <c r="V31" s="55"/>
      <c r="W31" s="55"/>
      <c r="X31" s="51"/>
      <c r="Y31" s="51"/>
      <c r="Z31" s="51"/>
      <c r="AA31" s="52"/>
      <c r="AB31" s="52"/>
      <c r="AC31" s="39"/>
    </row>
    <row r="32" spans="1:29" ht="26.25">
      <c r="A32" s="29">
        <v>25</v>
      </c>
      <c r="B32" s="30" t="s">
        <v>69</v>
      </c>
      <c r="C32" s="31" t="s">
        <v>59</v>
      </c>
      <c r="D32" s="32">
        <v>2</v>
      </c>
      <c r="E32" s="33"/>
      <c r="F32" s="107">
        <f>[1]МКД!$H$191</f>
        <v>16</v>
      </c>
      <c r="G32" s="34">
        <f t="shared" si="0"/>
        <v>604.21357999999998</v>
      </c>
      <c r="H32" s="34">
        <v>189.59833</v>
      </c>
      <c r="I32" s="35">
        <v>414.61525</v>
      </c>
      <c r="J32" s="36">
        <f t="shared" si="1"/>
        <v>721.83464000000004</v>
      </c>
      <c r="K32" s="37">
        <v>279.47302999999999</v>
      </c>
      <c r="L32" s="158">
        <v>442.36160999999998</v>
      </c>
      <c r="M32" s="36">
        <f t="shared" si="2"/>
        <v>390.93211000000002</v>
      </c>
      <c r="N32" s="36">
        <v>125.74252</v>
      </c>
      <c r="O32" s="36">
        <v>265.18959000000001</v>
      </c>
      <c r="P32" s="36">
        <f t="shared" si="3"/>
        <v>385.14</v>
      </c>
      <c r="Q32" s="37">
        <v>132.80000000000001</v>
      </c>
      <c r="R32" s="37">
        <v>252.34</v>
      </c>
      <c r="S32" s="163">
        <f t="shared" si="4"/>
        <v>24.071249999999999</v>
      </c>
      <c r="T32" s="61"/>
      <c r="U32" s="62"/>
      <c r="V32" s="62"/>
      <c r="W32" s="62"/>
      <c r="X32" s="63"/>
      <c r="Y32" s="61"/>
      <c r="Z32" s="61"/>
      <c r="AA32" s="61"/>
      <c r="AB32" s="61"/>
      <c r="AC32" s="61"/>
    </row>
    <row r="33" spans="1:20" ht="26.25">
      <c r="A33" s="29">
        <v>26</v>
      </c>
      <c r="B33" s="30" t="s">
        <v>69</v>
      </c>
      <c r="C33" s="56" t="s">
        <v>70</v>
      </c>
      <c r="D33" s="57">
        <v>3</v>
      </c>
      <c r="E33" s="57" t="s">
        <v>20</v>
      </c>
      <c r="F33" s="107">
        <f>[1]МКД!$H$193</f>
        <v>36</v>
      </c>
      <c r="G33" s="34">
        <f t="shared" si="0"/>
        <v>460.46573999999998</v>
      </c>
      <c r="H33" s="34">
        <v>242.46402</v>
      </c>
      <c r="I33" s="35">
        <v>218.00172000000001</v>
      </c>
      <c r="J33" s="36">
        <f t="shared" si="1"/>
        <v>337.30722000000003</v>
      </c>
      <c r="K33" s="36">
        <v>149.58561</v>
      </c>
      <c r="L33" s="42">
        <v>187.72161</v>
      </c>
      <c r="M33" s="36">
        <f t="shared" si="2"/>
        <v>356.18629999999996</v>
      </c>
      <c r="N33" s="36">
        <v>190.75903</v>
      </c>
      <c r="O33" s="36">
        <v>165.42726999999999</v>
      </c>
      <c r="P33" s="36">
        <f t="shared" si="3"/>
        <v>362.6</v>
      </c>
      <c r="Q33" s="37">
        <v>210.28</v>
      </c>
      <c r="R33" s="37">
        <v>152.32</v>
      </c>
      <c r="S33" s="163">
        <f t="shared" si="4"/>
        <v>10.072222222222223</v>
      </c>
    </row>
    <row r="34" spans="1:20" ht="26.25">
      <c r="A34" s="29">
        <v>27</v>
      </c>
      <c r="B34" s="30" t="s">
        <v>69</v>
      </c>
      <c r="C34" s="56" t="s">
        <v>33</v>
      </c>
      <c r="D34" s="57">
        <v>6</v>
      </c>
      <c r="E34" s="57" t="s">
        <v>20</v>
      </c>
      <c r="F34" s="107">
        <f>[1]МКД!$H$224</f>
        <v>76</v>
      </c>
      <c r="G34" s="34">
        <f t="shared" si="0"/>
        <v>353.75252</v>
      </c>
      <c r="H34" s="44">
        <v>160.38820999999999</v>
      </c>
      <c r="I34" s="45">
        <v>193.36430999999999</v>
      </c>
      <c r="J34" s="36">
        <f t="shared" si="1"/>
        <v>374.97404</v>
      </c>
      <c r="K34" s="46">
        <v>180.31874999999999</v>
      </c>
      <c r="L34" s="47">
        <v>194.65529000000001</v>
      </c>
      <c r="M34" s="36">
        <f t="shared" si="2"/>
        <v>311.92993999999999</v>
      </c>
      <c r="N34" s="46">
        <v>211.99485000000001</v>
      </c>
      <c r="O34" s="46">
        <v>99.935090000000002</v>
      </c>
      <c r="P34" s="36">
        <f t="shared" si="3"/>
        <v>351.46000000000004</v>
      </c>
      <c r="Q34" s="37">
        <v>219.44</v>
      </c>
      <c r="R34" s="37">
        <v>132.02000000000001</v>
      </c>
      <c r="S34" s="163">
        <f t="shared" si="4"/>
        <v>4.6244736842105265</v>
      </c>
    </row>
    <row r="35" spans="1:20" ht="26.25">
      <c r="A35" s="29">
        <v>28</v>
      </c>
      <c r="B35" s="30" t="s">
        <v>69</v>
      </c>
      <c r="C35" s="31" t="s">
        <v>59</v>
      </c>
      <c r="D35" s="32">
        <v>4</v>
      </c>
      <c r="E35" s="33"/>
      <c r="F35" s="107">
        <f>[1]МКД!$H$194</f>
        <v>16</v>
      </c>
      <c r="G35" s="34">
        <f t="shared" si="0"/>
        <v>218.97766000000001</v>
      </c>
      <c r="H35" s="34">
        <v>79.541499999999999</v>
      </c>
      <c r="I35" s="35">
        <v>139.43616</v>
      </c>
      <c r="J35" s="36">
        <f t="shared" si="1"/>
        <v>321.53346999999997</v>
      </c>
      <c r="K35" s="36">
        <v>110.17864</v>
      </c>
      <c r="L35" s="42">
        <v>211.35482999999999</v>
      </c>
      <c r="M35" s="36">
        <f t="shared" si="2"/>
        <v>308.28877</v>
      </c>
      <c r="N35" s="36">
        <v>112.42458000000001</v>
      </c>
      <c r="O35" s="36">
        <v>195.86419000000001</v>
      </c>
      <c r="P35" s="36">
        <f t="shared" si="3"/>
        <v>319.82</v>
      </c>
      <c r="Q35" s="37">
        <v>119.78</v>
      </c>
      <c r="R35" s="37">
        <v>200.04</v>
      </c>
      <c r="S35" s="163">
        <f t="shared" si="4"/>
        <v>19.98875</v>
      </c>
    </row>
    <row r="36" spans="1:20" ht="25.5">
      <c r="A36" s="29">
        <v>29</v>
      </c>
      <c r="B36" s="30" t="s">
        <v>69</v>
      </c>
      <c r="C36" s="31" t="s">
        <v>55</v>
      </c>
      <c r="D36" s="32">
        <v>10</v>
      </c>
      <c r="E36" s="19"/>
      <c r="F36" s="108">
        <f>[1]МКД!$H$212</f>
        <v>12</v>
      </c>
      <c r="G36" s="34">
        <f t="shared" si="0"/>
        <v>88.988659999999996</v>
      </c>
      <c r="H36" s="44">
        <v>76.109589999999997</v>
      </c>
      <c r="I36" s="45">
        <v>12.87907</v>
      </c>
      <c r="J36" s="36">
        <f t="shared" si="1"/>
        <v>266.38479000000001</v>
      </c>
      <c r="K36" s="46">
        <v>101.85702999999999</v>
      </c>
      <c r="L36" s="47">
        <v>164.52776</v>
      </c>
      <c r="M36" s="36">
        <f t="shared" si="2"/>
        <v>400.14957000000004</v>
      </c>
      <c r="N36" s="46">
        <v>173.52600000000001</v>
      </c>
      <c r="O36" s="46">
        <v>226.62357</v>
      </c>
      <c r="P36" s="36">
        <f t="shared" si="3"/>
        <v>294.77</v>
      </c>
      <c r="Q36" s="37">
        <v>116.07</v>
      </c>
      <c r="R36" s="37">
        <v>178.7</v>
      </c>
      <c r="S36" s="163">
        <f t="shared" si="4"/>
        <v>24.564166666666665</v>
      </c>
    </row>
    <row r="37" spans="1:20" ht="26.25">
      <c r="A37" s="29">
        <v>30</v>
      </c>
      <c r="B37" s="30" t="s">
        <v>69</v>
      </c>
      <c r="C37" s="31" t="s">
        <v>73</v>
      </c>
      <c r="D37" s="32">
        <v>4</v>
      </c>
      <c r="E37" s="33"/>
      <c r="F37" s="107">
        <f>[1]МКД!$H$221</f>
        <v>18</v>
      </c>
      <c r="G37" s="34">
        <f t="shared" si="0"/>
        <v>210.76316</v>
      </c>
      <c r="H37" s="34">
        <v>62.287179999999999</v>
      </c>
      <c r="I37" s="35">
        <v>148.47597999999999</v>
      </c>
      <c r="J37" s="36">
        <f t="shared" si="1"/>
        <v>196.70614</v>
      </c>
      <c r="K37" s="36">
        <v>70.195920000000001</v>
      </c>
      <c r="L37" s="42">
        <v>126.51022</v>
      </c>
      <c r="M37" s="36">
        <f t="shared" si="2"/>
        <v>168.76548</v>
      </c>
      <c r="N37" s="36">
        <v>79.389529999999993</v>
      </c>
      <c r="O37" s="36">
        <v>89.375950000000003</v>
      </c>
      <c r="P37" s="36">
        <f t="shared" si="3"/>
        <v>167.51</v>
      </c>
      <c r="Q37" s="37">
        <v>82.94</v>
      </c>
      <c r="R37" s="37">
        <v>84.57</v>
      </c>
      <c r="S37" s="163">
        <f t="shared" si="4"/>
        <v>9.306111111111111</v>
      </c>
    </row>
    <row r="38" spans="1:20" ht="26.25">
      <c r="A38" s="29">
        <v>31</v>
      </c>
      <c r="B38" s="30" t="s">
        <v>69</v>
      </c>
      <c r="C38" s="31" t="s">
        <v>55</v>
      </c>
      <c r="D38" s="32">
        <v>12</v>
      </c>
      <c r="E38" s="19"/>
      <c r="F38" s="109">
        <f>[1]МКД!$H$214</f>
        <v>12</v>
      </c>
      <c r="G38" s="34">
        <f t="shared" si="0"/>
        <v>110.48241</v>
      </c>
      <c r="H38" s="34">
        <v>60.992890000000003</v>
      </c>
      <c r="I38" s="35">
        <v>49.489519999999999</v>
      </c>
      <c r="J38" s="36">
        <f t="shared" si="1"/>
        <v>146.51812000000001</v>
      </c>
      <c r="K38" s="36">
        <v>77.484750000000005</v>
      </c>
      <c r="L38" s="42">
        <v>69.033370000000005</v>
      </c>
      <c r="M38" s="36">
        <f t="shared" si="2"/>
        <v>162.75540999999998</v>
      </c>
      <c r="N38" s="36">
        <v>84.359449999999995</v>
      </c>
      <c r="O38" s="36">
        <v>78.395960000000002</v>
      </c>
      <c r="P38" s="36">
        <f t="shared" si="3"/>
        <v>152.28</v>
      </c>
      <c r="Q38" s="37">
        <v>74.67</v>
      </c>
      <c r="R38" s="66">
        <v>77.61</v>
      </c>
      <c r="S38" s="163">
        <f t="shared" si="4"/>
        <v>12.69</v>
      </c>
    </row>
    <row r="39" spans="1:20" ht="26.25">
      <c r="A39" s="29">
        <v>32</v>
      </c>
      <c r="B39" s="30" t="s">
        <v>69</v>
      </c>
      <c r="C39" s="31" t="s">
        <v>59</v>
      </c>
      <c r="D39" s="32">
        <v>8</v>
      </c>
      <c r="E39" s="33"/>
      <c r="F39" s="107">
        <f>[1]МКД!$H$264</f>
        <v>15</v>
      </c>
      <c r="G39" s="34">
        <f t="shared" si="0"/>
        <v>74.902140000000003</v>
      </c>
      <c r="H39" s="34">
        <v>27.60998</v>
      </c>
      <c r="I39" s="35">
        <v>47.292160000000003</v>
      </c>
      <c r="J39" s="36">
        <f t="shared" si="1"/>
        <v>109.96453</v>
      </c>
      <c r="K39" s="36">
        <v>37.976080000000003</v>
      </c>
      <c r="L39" s="42">
        <v>71.98845</v>
      </c>
      <c r="M39" s="36">
        <f t="shared" si="2"/>
        <v>117.87553</v>
      </c>
      <c r="N39" s="36">
        <v>47.093110000000003</v>
      </c>
      <c r="O39" s="36">
        <v>70.782420000000002</v>
      </c>
      <c r="P39" s="36">
        <f t="shared" si="3"/>
        <v>128.07999999999998</v>
      </c>
      <c r="Q39" s="37">
        <v>65.97</v>
      </c>
      <c r="R39" s="37">
        <v>62.11</v>
      </c>
      <c r="S39" s="163">
        <f t="shared" si="4"/>
        <v>8.538666666666666</v>
      </c>
    </row>
    <row r="40" spans="1:20" ht="26.25">
      <c r="A40" s="29">
        <v>33</v>
      </c>
      <c r="B40" s="30" t="s">
        <v>69</v>
      </c>
      <c r="C40" s="31" t="s">
        <v>55</v>
      </c>
      <c r="D40" s="32">
        <v>12</v>
      </c>
      <c r="E40" s="32" t="s">
        <v>20</v>
      </c>
      <c r="F40" s="109">
        <f>[1]МКД!$H$215</f>
        <v>12</v>
      </c>
      <c r="G40" s="34">
        <f t="shared" si="0"/>
        <v>94.109679999999997</v>
      </c>
      <c r="H40" s="34">
        <v>56.30095</v>
      </c>
      <c r="I40" s="35">
        <v>37.808729999999997</v>
      </c>
      <c r="J40" s="36">
        <f t="shared" si="1"/>
        <v>70.656049999999993</v>
      </c>
      <c r="K40" s="36">
        <v>43.991779999999999</v>
      </c>
      <c r="L40" s="42">
        <v>26.664269999999998</v>
      </c>
      <c r="M40" s="36">
        <f t="shared" si="2"/>
        <v>87.2029</v>
      </c>
      <c r="N40" s="36">
        <v>52.693719999999999</v>
      </c>
      <c r="O40" s="36">
        <v>34.509180000000001</v>
      </c>
      <c r="P40" s="36">
        <f t="shared" si="3"/>
        <v>104.96000000000001</v>
      </c>
      <c r="Q40" s="37">
        <v>58.39</v>
      </c>
      <c r="R40" s="37">
        <v>46.57</v>
      </c>
      <c r="S40" s="163">
        <f t="shared" si="4"/>
        <v>8.7466666666666679</v>
      </c>
    </row>
    <row r="41" spans="1:20" ht="26.25">
      <c r="A41" s="29">
        <v>33</v>
      </c>
      <c r="B41" s="30" t="s">
        <v>69</v>
      </c>
      <c r="C41" s="31" t="s">
        <v>55</v>
      </c>
      <c r="D41" s="32">
        <v>16</v>
      </c>
      <c r="E41" s="33"/>
      <c r="F41" s="107">
        <f>[1]МКД!$H$218</f>
        <v>8</v>
      </c>
      <c r="G41" s="34">
        <f t="shared" si="0"/>
        <v>65.160290000000003</v>
      </c>
      <c r="H41" s="44">
        <v>19.157080000000001</v>
      </c>
      <c r="I41" s="44">
        <v>46.003210000000003</v>
      </c>
      <c r="J41" s="36">
        <f t="shared" si="1"/>
        <v>64.951189999999997</v>
      </c>
      <c r="K41" s="46">
        <v>21.674859999999999</v>
      </c>
      <c r="L41" s="46">
        <v>43.276330000000002</v>
      </c>
      <c r="M41" s="36">
        <f t="shared" si="2"/>
        <v>68.565899999999999</v>
      </c>
      <c r="N41" s="46">
        <v>26.856259999999999</v>
      </c>
      <c r="O41" s="46">
        <v>41.70964</v>
      </c>
      <c r="P41" s="36">
        <f t="shared" si="3"/>
        <v>68.23</v>
      </c>
      <c r="Q41" s="37">
        <v>28.63</v>
      </c>
      <c r="R41" s="37">
        <v>39.6</v>
      </c>
      <c r="S41" s="163">
        <f t="shared" si="4"/>
        <v>8.5287500000000005</v>
      </c>
    </row>
    <row r="42" spans="1:20" ht="26.25">
      <c r="A42" s="29">
        <v>35</v>
      </c>
      <c r="B42" s="30" t="s">
        <v>69</v>
      </c>
      <c r="C42" s="56" t="s">
        <v>72</v>
      </c>
      <c r="D42" s="64">
        <v>8</v>
      </c>
      <c r="E42" s="33"/>
      <c r="F42" s="107">
        <f>[1]МКД!$H$211</f>
        <v>12</v>
      </c>
      <c r="G42" s="34">
        <f t="shared" si="0"/>
        <v>29.05724</v>
      </c>
      <c r="H42" s="34">
        <v>15.38237</v>
      </c>
      <c r="I42" s="34">
        <v>13.67487</v>
      </c>
      <c r="J42" s="36">
        <f t="shared" si="1"/>
        <v>36.418799999999997</v>
      </c>
      <c r="K42" s="36">
        <v>17.800329999999999</v>
      </c>
      <c r="L42" s="36">
        <v>18.618469999999999</v>
      </c>
      <c r="M42" s="36">
        <f t="shared" si="2"/>
        <v>43.408349999999999</v>
      </c>
      <c r="N42" s="36">
        <v>19.933340000000001</v>
      </c>
      <c r="O42" s="36">
        <v>23.475010000000001</v>
      </c>
      <c r="P42" s="36">
        <f t="shared" si="3"/>
        <v>47.2</v>
      </c>
      <c r="Q42" s="37">
        <v>20.32</v>
      </c>
      <c r="R42" s="37">
        <v>26.88</v>
      </c>
      <c r="S42" s="163">
        <f t="shared" si="4"/>
        <v>3.9333333333333336</v>
      </c>
    </row>
    <row r="43" spans="1:20" s="96" customFormat="1" ht="15">
      <c r="A43" s="94"/>
      <c r="B43" s="94" t="s">
        <v>8</v>
      </c>
      <c r="C43" s="94"/>
      <c r="D43" s="94"/>
      <c r="E43" s="94"/>
      <c r="F43" s="285">
        <f>SUM(F8:F42)</f>
        <v>1996</v>
      </c>
      <c r="G43" s="93">
        <f>SUM(G8:G42)</f>
        <v>35372.513190000005</v>
      </c>
      <c r="H43" s="95">
        <f>SUM(H8:H42)</f>
        <v>16823.231180000002</v>
      </c>
      <c r="I43" s="95">
        <f>SUM(I8:I42)</f>
        <v>18549.282009999995</v>
      </c>
      <c r="J43" s="93">
        <f t="shared" ref="J43:O43" si="5">SUM(J8:J42)</f>
        <v>33321.406029999998</v>
      </c>
      <c r="K43" s="95">
        <f t="shared" si="5"/>
        <v>18528.161809999991</v>
      </c>
      <c r="L43" s="95">
        <f t="shared" si="5"/>
        <v>14793.244220000006</v>
      </c>
      <c r="M43" s="93">
        <f t="shared" si="5"/>
        <v>27479.537810000005</v>
      </c>
      <c r="N43" s="95">
        <f t="shared" si="5"/>
        <v>12295.707229999996</v>
      </c>
      <c r="O43" s="95">
        <f t="shared" si="5"/>
        <v>15183.83058</v>
      </c>
      <c r="P43" s="93">
        <f>SUM(P8:P42)</f>
        <v>29921.523999999998</v>
      </c>
      <c r="Q43" s="95">
        <f>SUM(Q8:Q42)</f>
        <v>13086.999999999998</v>
      </c>
      <c r="R43" s="95">
        <f>SUM(R8:R42)</f>
        <v>16834.523999999998</v>
      </c>
      <c r="S43" s="101"/>
      <c r="T43" s="96">
        <f>P43/A42</f>
        <v>854.9006857142856</v>
      </c>
    </row>
    <row r="45" spans="1:20">
      <c r="B45" s="96" t="s">
        <v>112</v>
      </c>
      <c r="S45" s="15"/>
    </row>
    <row r="46" spans="1:20" ht="15.75" customHeight="1">
      <c r="B46" s="225" t="s">
        <v>122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</row>
  </sheetData>
  <sortState ref="C8:S42">
    <sortCondition descending="1" ref="P8:P42"/>
  </sortState>
  <mergeCells count="24">
    <mergeCell ref="K6:L6"/>
    <mergeCell ref="D3:N3"/>
    <mergeCell ref="F4:F7"/>
    <mergeCell ref="D6:D7"/>
    <mergeCell ref="E6:E7"/>
    <mergeCell ref="G6:G7"/>
    <mergeCell ref="H6:I6"/>
    <mergeCell ref="J6:J7"/>
    <mergeCell ref="S4:S7"/>
    <mergeCell ref="B46:T46"/>
    <mergeCell ref="C2:S2"/>
    <mergeCell ref="AB3:AC3"/>
    <mergeCell ref="A4:A7"/>
    <mergeCell ref="B4:B7"/>
    <mergeCell ref="C4:E5"/>
    <mergeCell ref="G4:I5"/>
    <mergeCell ref="J4:L5"/>
    <mergeCell ref="M4:O5"/>
    <mergeCell ref="P4:R5"/>
    <mergeCell ref="C6:C7"/>
    <mergeCell ref="M6:M7"/>
    <mergeCell ref="N6:O6"/>
    <mergeCell ref="P6:P7"/>
    <mergeCell ref="Q6:R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0"/>
  <sheetViews>
    <sheetView zoomScaleNormal="100" zoomScaleSheetLayoutView="100" workbookViewId="0">
      <selection activeCell="F187" sqref="F187"/>
    </sheetView>
  </sheetViews>
  <sheetFormatPr defaultRowHeight="15"/>
  <cols>
    <col min="1" max="1" width="5.140625" customWidth="1"/>
    <col min="2" max="2" width="21.42578125" customWidth="1"/>
    <col min="3" max="3" width="15.7109375" customWidth="1"/>
    <col min="4" max="4" width="6.85546875" customWidth="1"/>
    <col min="5" max="5" width="7.5703125" customWidth="1"/>
    <col min="6" max="6" width="11.28515625" style="14" customWidth="1"/>
    <col min="8" max="8" width="10.42578125" customWidth="1"/>
    <col min="9" max="9" width="10.5703125" customWidth="1"/>
    <col min="10" max="10" width="9" customWidth="1"/>
    <col min="11" max="11" width="10.7109375" customWidth="1"/>
    <col min="12" max="12" width="9" customWidth="1"/>
    <col min="14" max="14" width="10.42578125" customWidth="1"/>
    <col min="15" max="15" width="10.28515625" customWidth="1"/>
    <col min="16" max="16" width="9.140625" style="124"/>
    <col min="17" max="17" width="11.28515625" style="124" customWidth="1"/>
    <col min="18" max="19" width="10.5703125" style="124" customWidth="1"/>
  </cols>
  <sheetData>
    <row r="1" spans="1:19">
      <c r="C1" s="224" t="s">
        <v>13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9" ht="34.5" customHeight="1">
      <c r="C2" s="223" t="s">
        <v>110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9">
      <c r="R3" s="115"/>
      <c r="S3" s="115" t="s">
        <v>9</v>
      </c>
    </row>
    <row r="4" spans="1:19" ht="43.5" customHeight="1">
      <c r="A4" s="267" t="s">
        <v>0</v>
      </c>
      <c r="B4" s="267" t="s">
        <v>15</v>
      </c>
      <c r="C4" s="267" t="s">
        <v>1</v>
      </c>
      <c r="D4" s="267"/>
      <c r="E4" s="267"/>
      <c r="F4" s="274" t="s">
        <v>82</v>
      </c>
      <c r="G4" s="268" t="s">
        <v>10</v>
      </c>
      <c r="H4" s="268"/>
      <c r="I4" s="268"/>
      <c r="J4" s="268" t="s">
        <v>11</v>
      </c>
      <c r="K4" s="268"/>
      <c r="L4" s="268"/>
      <c r="M4" s="269" t="s">
        <v>12</v>
      </c>
      <c r="N4" s="270"/>
      <c r="O4" s="271"/>
      <c r="P4" s="278" t="s">
        <v>41</v>
      </c>
      <c r="Q4" s="278"/>
      <c r="R4" s="279"/>
      <c r="S4" s="249" t="s">
        <v>111</v>
      </c>
    </row>
    <row r="5" spans="1:19" ht="13.5" customHeight="1">
      <c r="A5" s="267"/>
      <c r="B5" s="267"/>
      <c r="C5" s="267" t="s">
        <v>2</v>
      </c>
      <c r="D5" s="277" t="s">
        <v>3</v>
      </c>
      <c r="E5" s="277" t="s">
        <v>4</v>
      </c>
      <c r="F5" s="275"/>
      <c r="G5" s="272" t="s">
        <v>5</v>
      </c>
      <c r="H5" s="273" t="s">
        <v>14</v>
      </c>
      <c r="I5" s="273"/>
      <c r="J5" s="272" t="s">
        <v>5</v>
      </c>
      <c r="K5" s="273" t="s">
        <v>14</v>
      </c>
      <c r="L5" s="273"/>
      <c r="M5" s="272" t="s">
        <v>5</v>
      </c>
      <c r="N5" s="273" t="s">
        <v>14</v>
      </c>
      <c r="O5" s="273"/>
      <c r="P5" s="280" t="s">
        <v>5</v>
      </c>
      <c r="Q5" s="281" t="s">
        <v>14</v>
      </c>
      <c r="R5" s="282"/>
      <c r="S5" s="249"/>
    </row>
    <row r="6" spans="1:19" ht="60">
      <c r="A6" s="267"/>
      <c r="B6" s="267"/>
      <c r="C6" s="267"/>
      <c r="D6" s="277"/>
      <c r="E6" s="277"/>
      <c r="F6" s="276"/>
      <c r="G6" s="272"/>
      <c r="H6" s="68" t="s">
        <v>6</v>
      </c>
      <c r="I6" s="68" t="s">
        <v>7</v>
      </c>
      <c r="J6" s="272"/>
      <c r="K6" s="68" t="s">
        <v>6</v>
      </c>
      <c r="L6" s="68" t="s">
        <v>7</v>
      </c>
      <c r="M6" s="272"/>
      <c r="N6" s="68" t="s">
        <v>6</v>
      </c>
      <c r="O6" s="68" t="s">
        <v>7</v>
      </c>
      <c r="P6" s="280"/>
      <c r="Q6" s="125" t="s">
        <v>6</v>
      </c>
      <c r="R6" s="128" t="s">
        <v>7</v>
      </c>
      <c r="S6" s="249"/>
    </row>
    <row r="7" spans="1:19">
      <c r="A7" s="1">
        <v>1</v>
      </c>
      <c r="B7" s="79" t="s">
        <v>77</v>
      </c>
      <c r="C7" s="205" t="s">
        <v>22</v>
      </c>
      <c r="D7" s="206">
        <v>10</v>
      </c>
      <c r="E7" s="206"/>
      <c r="F7" s="207">
        <f>[2]МКД!$H$32</f>
        <v>72</v>
      </c>
      <c r="G7" s="81">
        <f t="shared" ref="G7:G38" si="0">H7+I7</f>
        <v>3143.64437</v>
      </c>
      <c r="H7" s="85">
        <f>1302691.53/1000</f>
        <v>1302.6915300000001</v>
      </c>
      <c r="I7" s="82">
        <f>1840952.84/1000</f>
        <v>1840.9528400000002</v>
      </c>
      <c r="J7" s="83">
        <f t="shared" ref="J7:J38" si="1">K7+L7</f>
        <v>3681.34755</v>
      </c>
      <c r="K7" s="82">
        <f>1465027.96/1000</f>
        <v>1465.0279599999999</v>
      </c>
      <c r="L7" s="82">
        <f>2216319.59/1000</f>
        <v>2216.3195900000001</v>
      </c>
      <c r="M7" s="81">
        <f t="shared" ref="M7:M38" si="2">N7+O7</f>
        <v>3585.9545400000002</v>
      </c>
      <c r="N7" s="82">
        <f>1523177.24/1000</f>
        <v>1523.17724</v>
      </c>
      <c r="O7" s="84">
        <f>2062777.3/1000</f>
        <v>2062.7773000000002</v>
      </c>
      <c r="P7" s="208">
        <f t="shared" ref="P7:P38" si="3">Q7+R7</f>
        <v>3633.6189999999997</v>
      </c>
      <c r="Q7" s="209">
        <v>1429.9079999999999</v>
      </c>
      <c r="R7" s="210">
        <v>2203.7109999999998</v>
      </c>
      <c r="S7" s="177">
        <f t="shared" ref="S7:S38" si="4">P7/F7</f>
        <v>50.46693055555555</v>
      </c>
    </row>
    <row r="8" spans="1:19">
      <c r="A8" s="1">
        <f>A7+1</f>
        <v>2</v>
      </c>
      <c r="B8" s="79" t="s">
        <v>77</v>
      </c>
      <c r="C8" s="79" t="s">
        <v>74</v>
      </c>
      <c r="D8" s="80">
        <v>34</v>
      </c>
      <c r="E8" s="80"/>
      <c r="F8" s="116">
        <f>[3]МКД!$H$94</f>
        <v>84</v>
      </c>
      <c r="G8" s="81">
        <f t="shared" si="0"/>
        <v>3291.8791600000004</v>
      </c>
      <c r="H8" s="85">
        <f>1325846.04/1000</f>
        <v>1325.8460400000001</v>
      </c>
      <c r="I8" s="82">
        <f>1966033.12/1000</f>
        <v>1966.0331200000001</v>
      </c>
      <c r="J8" s="83">
        <f t="shared" si="1"/>
        <v>3909.2248</v>
      </c>
      <c r="K8" s="82">
        <f>1482989.69/1000</f>
        <v>1482.9896899999999</v>
      </c>
      <c r="L8" s="82">
        <f>2426235.11/1000</f>
        <v>2426.2351100000001</v>
      </c>
      <c r="M8" s="81">
        <f t="shared" si="2"/>
        <v>3813.7871300000002</v>
      </c>
      <c r="N8" s="82">
        <f>1487315.47/1000</f>
        <v>1487.31547</v>
      </c>
      <c r="O8" s="84">
        <f>2326471.66/1000</f>
        <v>2326.4716600000002</v>
      </c>
      <c r="P8" s="119">
        <f t="shared" si="3"/>
        <v>3464.5309999999999</v>
      </c>
      <c r="Q8" s="126">
        <v>1262.941</v>
      </c>
      <c r="R8" s="129">
        <v>2201.59</v>
      </c>
      <c r="S8" s="177">
        <f t="shared" si="4"/>
        <v>41.244416666666666</v>
      </c>
    </row>
    <row r="9" spans="1:19">
      <c r="A9" s="1">
        <f t="shared" ref="A9:A16" si="5">A8+1</f>
        <v>3</v>
      </c>
      <c r="B9" s="79" t="s">
        <v>77</v>
      </c>
      <c r="C9" s="79" t="s">
        <v>75</v>
      </c>
      <c r="D9" s="80">
        <v>3</v>
      </c>
      <c r="E9" s="80" t="s">
        <v>21</v>
      </c>
      <c r="F9" s="116">
        <f>[3]МКД!$H$123</f>
        <v>126</v>
      </c>
      <c r="G9" s="81">
        <f t="shared" si="0"/>
        <v>1567.71207</v>
      </c>
      <c r="H9" s="85">
        <f>1003192.48/1000</f>
        <v>1003.1924799999999</v>
      </c>
      <c r="I9" s="82">
        <f>564519.59/1000</f>
        <v>564.51958999999999</v>
      </c>
      <c r="J9" s="83">
        <f t="shared" si="1"/>
        <v>1786.01712</v>
      </c>
      <c r="K9" s="82">
        <f>1120856.6/1000</f>
        <v>1120.8566000000001</v>
      </c>
      <c r="L9" s="82">
        <f>665160.52/1000</f>
        <v>665.16052000000002</v>
      </c>
      <c r="M9" s="81">
        <f t="shared" si="2"/>
        <v>1797.7211699999998</v>
      </c>
      <c r="N9" s="82">
        <f>1140699.42/1000</f>
        <v>1140.6994199999999</v>
      </c>
      <c r="O9" s="84">
        <f>657021.75/1000</f>
        <v>657.02175</v>
      </c>
      <c r="P9" s="119">
        <f t="shared" si="3"/>
        <v>1679.5309999999999</v>
      </c>
      <c r="Q9" s="126">
        <v>1072.7550000000001</v>
      </c>
      <c r="R9" s="129">
        <v>606.77599999999995</v>
      </c>
      <c r="S9" s="177">
        <f t="shared" si="4"/>
        <v>13.329611111111111</v>
      </c>
    </row>
    <row r="10" spans="1:19">
      <c r="A10" s="1">
        <f t="shared" si="5"/>
        <v>4</v>
      </c>
      <c r="B10" s="79" t="s">
        <v>77</v>
      </c>
      <c r="C10" s="79" t="s">
        <v>38</v>
      </c>
      <c r="D10" s="80">
        <v>24</v>
      </c>
      <c r="E10" s="80" t="s">
        <v>21</v>
      </c>
      <c r="F10" s="116">
        <f>[3]МКД!$H$98</f>
        <v>20</v>
      </c>
      <c r="G10" s="81">
        <f t="shared" si="0"/>
        <v>897.49430000000007</v>
      </c>
      <c r="H10" s="85">
        <f>393143.28/1000</f>
        <v>393.14328</v>
      </c>
      <c r="I10" s="82">
        <f>504351.02/1000</f>
        <v>504.35102000000001</v>
      </c>
      <c r="J10" s="83">
        <f t="shared" si="1"/>
        <v>1143.0320499999998</v>
      </c>
      <c r="K10" s="82">
        <f>531250.09/1000</f>
        <v>531.25009</v>
      </c>
      <c r="L10" s="82">
        <f>611781.96/1000</f>
        <v>611.78195999999991</v>
      </c>
      <c r="M10" s="81">
        <f t="shared" si="2"/>
        <v>1170.89319</v>
      </c>
      <c r="N10" s="82">
        <f>574596.14/1000</f>
        <v>574.59613999999999</v>
      </c>
      <c r="O10" s="84">
        <f>596297.05/1000</f>
        <v>596.29705000000001</v>
      </c>
      <c r="P10" s="119">
        <f t="shared" si="3"/>
        <v>1645.88</v>
      </c>
      <c r="Q10" s="126">
        <v>474.02800000000002</v>
      </c>
      <c r="R10" s="129">
        <v>1171.8520000000001</v>
      </c>
      <c r="S10" s="177">
        <f t="shared" si="4"/>
        <v>82.294000000000011</v>
      </c>
    </row>
    <row r="11" spans="1:19">
      <c r="A11" s="1">
        <f t="shared" si="5"/>
        <v>5</v>
      </c>
      <c r="B11" s="79" t="s">
        <v>77</v>
      </c>
      <c r="C11" s="79" t="s">
        <v>73</v>
      </c>
      <c r="D11" s="80">
        <v>3</v>
      </c>
      <c r="E11" s="80"/>
      <c r="F11" s="116">
        <f>[3]МКД!$H$76</f>
        <v>72</v>
      </c>
      <c r="G11" s="81">
        <f t="shared" si="0"/>
        <v>1273.8188500000001</v>
      </c>
      <c r="H11" s="85">
        <f>616111.85/1000</f>
        <v>616.11185</v>
      </c>
      <c r="I11" s="82">
        <f>657707/1000</f>
        <v>657.70699999999999</v>
      </c>
      <c r="J11" s="83">
        <f t="shared" si="1"/>
        <v>1817.18993</v>
      </c>
      <c r="K11" s="82">
        <f>713448.8/1000</f>
        <v>713.44880000000001</v>
      </c>
      <c r="L11" s="82">
        <f>1103741.13/1000</f>
        <v>1103.7411299999999</v>
      </c>
      <c r="M11" s="81">
        <f t="shared" si="2"/>
        <v>1921.74827</v>
      </c>
      <c r="N11" s="82">
        <f>776444.46/1000</f>
        <v>776.44445999999994</v>
      </c>
      <c r="O11" s="84">
        <f>1145303.81/1000</f>
        <v>1145.3038100000001</v>
      </c>
      <c r="P11" s="119">
        <f t="shared" si="3"/>
        <v>1580.7739999999999</v>
      </c>
      <c r="Q11" s="126">
        <v>732.61500000000001</v>
      </c>
      <c r="R11" s="129">
        <v>848.15899999999999</v>
      </c>
      <c r="S11" s="177">
        <f t="shared" si="4"/>
        <v>21.955194444444444</v>
      </c>
    </row>
    <row r="12" spans="1:19">
      <c r="A12" s="1">
        <f t="shared" si="5"/>
        <v>6</v>
      </c>
      <c r="B12" s="79" t="s">
        <v>77</v>
      </c>
      <c r="C12" s="79" t="s">
        <v>96</v>
      </c>
      <c r="D12" s="80">
        <v>9</v>
      </c>
      <c r="E12" s="80" t="s">
        <v>21</v>
      </c>
      <c r="F12" s="116">
        <f>[3]МКД!$H$138</f>
        <v>30</v>
      </c>
      <c r="G12" s="81">
        <f t="shared" si="0"/>
        <v>916.4837</v>
      </c>
      <c r="H12" s="85">
        <f>267345.93/1000</f>
        <v>267.34593000000001</v>
      </c>
      <c r="I12" s="82">
        <f>649137.77/1000</f>
        <v>649.13777000000005</v>
      </c>
      <c r="J12" s="83">
        <f t="shared" si="1"/>
        <v>1184.37042</v>
      </c>
      <c r="K12" s="82">
        <f>343969.63/1000</f>
        <v>343.96963</v>
      </c>
      <c r="L12" s="82">
        <f>840400.79/1000</f>
        <v>840.40079000000003</v>
      </c>
      <c r="M12" s="81">
        <f t="shared" si="2"/>
        <v>1068.2606000000001</v>
      </c>
      <c r="N12" s="82">
        <f>337985.97/1000</f>
        <v>337.98596999999995</v>
      </c>
      <c r="O12" s="84">
        <f>730274.63/1000</f>
        <v>730.27463</v>
      </c>
      <c r="P12" s="119">
        <f t="shared" si="3"/>
        <v>1197.9749999999999</v>
      </c>
      <c r="Q12" s="126">
        <v>387.19799999999998</v>
      </c>
      <c r="R12" s="129">
        <v>810.77700000000004</v>
      </c>
      <c r="S12" s="177">
        <f t="shared" si="4"/>
        <v>39.932499999999997</v>
      </c>
    </row>
    <row r="13" spans="1:19">
      <c r="A13" s="1">
        <f t="shared" si="5"/>
        <v>7</v>
      </c>
      <c r="B13" s="79" t="s">
        <v>77</v>
      </c>
      <c r="C13" s="79" t="s">
        <v>92</v>
      </c>
      <c r="D13" s="80">
        <v>37</v>
      </c>
      <c r="E13" s="80"/>
      <c r="F13" s="116">
        <f>[3]МКД!$H$117</f>
        <v>15</v>
      </c>
      <c r="G13" s="81">
        <f t="shared" si="0"/>
        <v>788.00405000000001</v>
      </c>
      <c r="H13" s="85">
        <f>350424.53/1000</f>
        <v>350.42453</v>
      </c>
      <c r="I13" s="82">
        <f>437579.52/1000</f>
        <v>437.57952</v>
      </c>
      <c r="J13" s="83">
        <f t="shared" si="1"/>
        <v>1052.35779</v>
      </c>
      <c r="K13" s="82">
        <f>410710.05/1000</f>
        <v>410.71004999999997</v>
      </c>
      <c r="L13" s="82">
        <f>641647.74/1000</f>
        <v>641.64774</v>
      </c>
      <c r="M13" s="81">
        <f t="shared" si="2"/>
        <v>1056.10329</v>
      </c>
      <c r="N13" s="82">
        <f>422504.26/1000</f>
        <v>422.50425999999999</v>
      </c>
      <c r="O13" s="84">
        <f>633599.03/1000</f>
        <v>633.59903000000008</v>
      </c>
      <c r="P13" s="119">
        <f t="shared" si="3"/>
        <v>1143.3109999999999</v>
      </c>
      <c r="Q13" s="126">
        <v>431.47300000000001</v>
      </c>
      <c r="R13" s="129">
        <v>711.83799999999997</v>
      </c>
      <c r="S13" s="177">
        <f t="shared" si="4"/>
        <v>76.220733333333328</v>
      </c>
    </row>
    <row r="14" spans="1:19">
      <c r="A14" s="1">
        <f t="shared" si="5"/>
        <v>8</v>
      </c>
      <c r="B14" s="79" t="s">
        <v>77</v>
      </c>
      <c r="C14" s="79" t="s">
        <v>24</v>
      </c>
      <c r="D14" s="80">
        <v>18</v>
      </c>
      <c r="E14" s="80"/>
      <c r="F14" s="116">
        <f>[2]МКД!$H$31</f>
        <v>33</v>
      </c>
      <c r="G14" s="81">
        <f t="shared" si="0"/>
        <v>950.93876</v>
      </c>
      <c r="H14" s="85">
        <f>380685.32/1000</f>
        <v>380.68531999999999</v>
      </c>
      <c r="I14" s="82">
        <f>570253.44/1000</f>
        <v>570.25343999999996</v>
      </c>
      <c r="J14" s="83">
        <f t="shared" si="1"/>
        <v>1063.4835</v>
      </c>
      <c r="K14" s="82">
        <f>420425.9/1000</f>
        <v>420.42590000000001</v>
      </c>
      <c r="L14" s="82">
        <f>643057.6/1000</f>
        <v>643.05759999999998</v>
      </c>
      <c r="M14" s="81">
        <f t="shared" si="2"/>
        <v>1050.35005</v>
      </c>
      <c r="N14" s="82">
        <f>431283.78/1000</f>
        <v>431.28378000000004</v>
      </c>
      <c r="O14" s="84">
        <f>619066.27/1000</f>
        <v>619.06627000000003</v>
      </c>
      <c r="P14" s="119">
        <f t="shared" si="3"/>
        <v>1080.2829999999999</v>
      </c>
      <c r="Q14" s="126">
        <v>387.03300000000002</v>
      </c>
      <c r="R14" s="129">
        <v>693.25</v>
      </c>
      <c r="S14" s="177">
        <f t="shared" si="4"/>
        <v>32.735848484848482</v>
      </c>
    </row>
    <row r="15" spans="1:19">
      <c r="A15" s="1">
        <f t="shared" si="5"/>
        <v>9</v>
      </c>
      <c r="B15" s="79" t="s">
        <v>77</v>
      </c>
      <c r="C15" s="79" t="s">
        <v>92</v>
      </c>
      <c r="D15" s="80">
        <v>27</v>
      </c>
      <c r="E15" s="80"/>
      <c r="F15" s="116">
        <f>[3]МКД!$H$112</f>
        <v>12</v>
      </c>
      <c r="G15" s="81">
        <f t="shared" si="0"/>
        <v>616.16952000000003</v>
      </c>
      <c r="H15" s="85">
        <f>211477.04/1000</f>
        <v>211.47704000000002</v>
      </c>
      <c r="I15" s="82">
        <f>404692.48/1000</f>
        <v>404.69247999999999</v>
      </c>
      <c r="J15" s="83">
        <f t="shared" si="1"/>
        <v>817.23054999999999</v>
      </c>
      <c r="K15" s="82">
        <f>259601.87/1000</f>
        <v>259.60187000000002</v>
      </c>
      <c r="L15" s="82">
        <f>557628.68/1000</f>
        <v>557.62868000000003</v>
      </c>
      <c r="M15" s="81">
        <f t="shared" si="2"/>
        <v>809.62790000000007</v>
      </c>
      <c r="N15" s="82">
        <f>271605.23/1000</f>
        <v>271.60523000000001</v>
      </c>
      <c r="O15" s="84">
        <f>538022.67/1000</f>
        <v>538.02267000000006</v>
      </c>
      <c r="P15" s="119">
        <f t="shared" si="3"/>
        <v>917.4849999999999</v>
      </c>
      <c r="Q15" s="126">
        <v>317.90199999999999</v>
      </c>
      <c r="R15" s="129">
        <v>599.58299999999997</v>
      </c>
      <c r="S15" s="177">
        <f t="shared" si="4"/>
        <v>76.45708333333333</v>
      </c>
    </row>
    <row r="16" spans="1:19">
      <c r="A16" s="1">
        <f t="shared" si="5"/>
        <v>10</v>
      </c>
      <c r="B16" s="79" t="s">
        <v>77</v>
      </c>
      <c r="C16" s="79" t="s">
        <v>70</v>
      </c>
      <c r="D16" s="80">
        <v>5</v>
      </c>
      <c r="E16" s="80"/>
      <c r="F16" s="116">
        <f>[2]МКД!$H$24</f>
        <v>24</v>
      </c>
      <c r="G16" s="81">
        <f t="shared" si="0"/>
        <v>781.31000000000006</v>
      </c>
      <c r="H16" s="85">
        <f>78.46+106.51</f>
        <v>184.97</v>
      </c>
      <c r="I16" s="82">
        <f>251.65+344.69</f>
        <v>596.34</v>
      </c>
      <c r="J16" s="83">
        <f t="shared" si="1"/>
        <v>916.41000000000008</v>
      </c>
      <c r="K16" s="82">
        <f>75+120.04</f>
        <v>195.04000000000002</v>
      </c>
      <c r="L16" s="82">
        <f>244.62+476.75</f>
        <v>721.37</v>
      </c>
      <c r="M16" s="81">
        <f t="shared" si="2"/>
        <v>950.62</v>
      </c>
      <c r="N16" s="82">
        <f>75+133.23</f>
        <v>208.23</v>
      </c>
      <c r="O16" s="84">
        <f>244.62+497.77</f>
        <v>742.39</v>
      </c>
      <c r="P16" s="119">
        <f t="shared" si="3"/>
        <v>899.98099999999988</v>
      </c>
      <c r="Q16" s="126">
        <f>125.946+125.82</f>
        <v>251.76599999999999</v>
      </c>
      <c r="R16" s="129">
        <f>147.065+501.15</f>
        <v>648.21499999999992</v>
      </c>
      <c r="S16" s="177">
        <f t="shared" si="4"/>
        <v>37.499208333333328</v>
      </c>
    </row>
    <row r="17" spans="1:19">
      <c r="A17" s="1">
        <f>A16+1</f>
        <v>11</v>
      </c>
      <c r="B17" s="79" t="s">
        <v>77</v>
      </c>
      <c r="C17" s="79" t="s">
        <v>37</v>
      </c>
      <c r="D17" s="80">
        <v>11</v>
      </c>
      <c r="E17" s="80"/>
      <c r="F17" s="116">
        <f>[3]МКД!$H$80</f>
        <v>12</v>
      </c>
      <c r="G17" s="81">
        <f t="shared" si="0"/>
        <v>509.96870000000001</v>
      </c>
      <c r="H17" s="85">
        <f>209574.83/1000</f>
        <v>209.57482999999999</v>
      </c>
      <c r="I17" s="82">
        <f>300393.87/1000</f>
        <v>300.39386999999999</v>
      </c>
      <c r="J17" s="83">
        <f t="shared" si="1"/>
        <v>683.02179999999998</v>
      </c>
      <c r="K17" s="82">
        <f>316816.49/1000</f>
        <v>316.81648999999999</v>
      </c>
      <c r="L17" s="82">
        <f>366205.31/1000</f>
        <v>366.20531</v>
      </c>
      <c r="M17" s="81">
        <f t="shared" si="2"/>
        <v>696.81377999999995</v>
      </c>
      <c r="N17" s="82">
        <f>337633.26/1000</f>
        <v>337.63326000000001</v>
      </c>
      <c r="O17" s="84">
        <f>359180.52/1000</f>
        <v>359.18052</v>
      </c>
      <c r="P17" s="119">
        <f t="shared" si="3"/>
        <v>866.02099999999996</v>
      </c>
      <c r="Q17" s="126">
        <v>270.30799999999999</v>
      </c>
      <c r="R17" s="129">
        <v>595.71299999999997</v>
      </c>
      <c r="S17" s="177">
        <f t="shared" si="4"/>
        <v>72.168416666666658</v>
      </c>
    </row>
    <row r="18" spans="1:19">
      <c r="A18" s="1">
        <f t="shared" ref="A18:A81" si="6">A17+1</f>
        <v>12</v>
      </c>
      <c r="B18" s="79" t="s">
        <v>77</v>
      </c>
      <c r="C18" s="79" t="s">
        <v>93</v>
      </c>
      <c r="D18" s="80">
        <v>16</v>
      </c>
      <c r="E18" s="80"/>
      <c r="F18" s="116">
        <f>[3]МКД!$H$126</f>
        <v>12</v>
      </c>
      <c r="G18" s="81">
        <f t="shared" si="0"/>
        <v>749.72643999999991</v>
      </c>
      <c r="H18" s="85">
        <f>324516.56/1000</f>
        <v>324.51655999999997</v>
      </c>
      <c r="I18" s="82">
        <f>425209.88/1000</f>
        <v>425.20988</v>
      </c>
      <c r="J18" s="83">
        <f t="shared" si="1"/>
        <v>803.98457999999994</v>
      </c>
      <c r="K18" s="82">
        <f>340274.29/1000</f>
        <v>340.27428999999995</v>
      </c>
      <c r="L18" s="82">
        <f>463710.29/1000</f>
        <v>463.71028999999999</v>
      </c>
      <c r="M18" s="81">
        <f t="shared" si="2"/>
        <v>4576.6161199999988</v>
      </c>
      <c r="N18" s="82">
        <f>339296.1/1000</f>
        <v>339.29609999999997</v>
      </c>
      <c r="O18" s="84">
        <f>4237320.02/1000</f>
        <v>4237.3200199999992</v>
      </c>
      <c r="P18" s="119">
        <f t="shared" si="3"/>
        <v>837.90100000000007</v>
      </c>
      <c r="Q18" s="126">
        <v>340.21300000000002</v>
      </c>
      <c r="R18" s="129">
        <v>497.68799999999999</v>
      </c>
      <c r="S18" s="177">
        <f t="shared" si="4"/>
        <v>69.825083333333339</v>
      </c>
    </row>
    <row r="19" spans="1:19">
      <c r="A19" s="1">
        <f t="shared" si="6"/>
        <v>13</v>
      </c>
      <c r="B19" s="79" t="s">
        <v>77</v>
      </c>
      <c r="C19" s="79" t="s">
        <v>92</v>
      </c>
      <c r="D19" s="80">
        <v>33</v>
      </c>
      <c r="E19" s="80"/>
      <c r="F19" s="116">
        <f>[3]МКД!$H$115</f>
        <v>18</v>
      </c>
      <c r="G19" s="81">
        <f t="shared" si="0"/>
        <v>484.25572999999997</v>
      </c>
      <c r="H19" s="85">
        <f>139623.49/1000</f>
        <v>139.62349</v>
      </c>
      <c r="I19" s="82">
        <f>344632.24/1000</f>
        <v>344.63223999999997</v>
      </c>
      <c r="J19" s="83">
        <f t="shared" si="1"/>
        <v>583.85347000000002</v>
      </c>
      <c r="K19" s="82">
        <f>161157.36/1000</f>
        <v>161.15735999999998</v>
      </c>
      <c r="L19" s="82">
        <f>422696.11/1000</f>
        <v>422.69610999999998</v>
      </c>
      <c r="M19" s="81">
        <f t="shared" si="2"/>
        <v>568.02382999999998</v>
      </c>
      <c r="N19" s="82">
        <f>161631.42/1000</f>
        <v>161.63142000000002</v>
      </c>
      <c r="O19" s="84">
        <f>406392.41/1000</f>
        <v>406.39240999999998</v>
      </c>
      <c r="P19" s="119">
        <f t="shared" si="3"/>
        <v>832.30600000000004</v>
      </c>
      <c r="Q19" s="126">
        <v>252.26900000000001</v>
      </c>
      <c r="R19" s="129">
        <v>580.03700000000003</v>
      </c>
      <c r="S19" s="177">
        <f t="shared" si="4"/>
        <v>46.239222222222224</v>
      </c>
    </row>
    <row r="20" spans="1:19">
      <c r="A20" s="1">
        <f t="shared" si="6"/>
        <v>14</v>
      </c>
      <c r="B20" s="79" t="s">
        <v>77</v>
      </c>
      <c r="C20" s="79" t="s">
        <v>99</v>
      </c>
      <c r="D20" s="80">
        <v>36</v>
      </c>
      <c r="E20" s="80" t="s">
        <v>20</v>
      </c>
      <c r="F20" s="116">
        <f>[3]МКД!$H$151</f>
        <v>12</v>
      </c>
      <c r="G20" s="81">
        <f t="shared" si="0"/>
        <v>691.57413999999994</v>
      </c>
      <c r="H20" s="85">
        <f>371737.62/1000</f>
        <v>371.73761999999999</v>
      </c>
      <c r="I20" s="82">
        <f>319836.52/1000</f>
        <v>319.83652000000001</v>
      </c>
      <c r="J20" s="83">
        <f t="shared" si="1"/>
        <v>868.61563000000001</v>
      </c>
      <c r="K20" s="82">
        <f>460608.84/1000</f>
        <v>460.60884000000004</v>
      </c>
      <c r="L20" s="82">
        <f>408006.79/1000</f>
        <v>408.00678999999997</v>
      </c>
      <c r="M20" s="81">
        <f t="shared" si="2"/>
        <v>833.44819000000007</v>
      </c>
      <c r="N20" s="82">
        <f>453140.16/1000</f>
        <v>453.14015999999998</v>
      </c>
      <c r="O20" s="84">
        <f>380308.03/1000</f>
        <v>380.30803000000003</v>
      </c>
      <c r="P20" s="119">
        <f t="shared" si="3"/>
        <v>821.80799999999999</v>
      </c>
      <c r="Q20" s="126">
        <v>438.09199999999998</v>
      </c>
      <c r="R20" s="129">
        <v>383.71600000000001</v>
      </c>
      <c r="S20" s="177">
        <f t="shared" si="4"/>
        <v>68.483999999999995</v>
      </c>
    </row>
    <row r="21" spans="1:19">
      <c r="A21" s="1">
        <f t="shared" si="6"/>
        <v>15</v>
      </c>
      <c r="B21" s="79" t="s">
        <v>77</v>
      </c>
      <c r="C21" s="79" t="s">
        <v>92</v>
      </c>
      <c r="D21" s="80">
        <v>39</v>
      </c>
      <c r="E21" s="80"/>
      <c r="F21" s="116">
        <f>[3]МКД!$H$119</f>
        <v>18</v>
      </c>
      <c r="G21" s="81">
        <f t="shared" si="0"/>
        <v>669.58987000000002</v>
      </c>
      <c r="H21" s="85">
        <f>221364.43/1000</f>
        <v>221.36443</v>
      </c>
      <c r="I21" s="82">
        <f>448225.44/1000</f>
        <v>448.22543999999999</v>
      </c>
      <c r="J21" s="83">
        <f t="shared" si="1"/>
        <v>638.24799000000007</v>
      </c>
      <c r="K21" s="82">
        <f>203163.54/1000</f>
        <v>203.16354000000001</v>
      </c>
      <c r="L21" s="82">
        <f>435084.45/1000</f>
        <v>435.08445</v>
      </c>
      <c r="M21" s="81">
        <f t="shared" si="2"/>
        <v>608.68982000000005</v>
      </c>
      <c r="N21" s="82">
        <f>206860.82/1000</f>
        <v>206.86082000000002</v>
      </c>
      <c r="O21" s="84">
        <f>401829/1000</f>
        <v>401.82900000000001</v>
      </c>
      <c r="P21" s="119">
        <f t="shared" si="3"/>
        <v>788.15900000000011</v>
      </c>
      <c r="Q21" s="126">
        <v>291.09500000000003</v>
      </c>
      <c r="R21" s="129">
        <v>497.06400000000002</v>
      </c>
      <c r="S21" s="177">
        <f t="shared" si="4"/>
        <v>43.786611111111114</v>
      </c>
    </row>
    <row r="22" spans="1:19">
      <c r="A22" s="1">
        <f t="shared" si="6"/>
        <v>16</v>
      </c>
      <c r="B22" s="79" t="s">
        <v>77</v>
      </c>
      <c r="C22" s="79" t="s">
        <v>85</v>
      </c>
      <c r="D22" s="80">
        <v>9</v>
      </c>
      <c r="E22" s="80" t="s">
        <v>20</v>
      </c>
      <c r="F22" s="116">
        <f>[2]МКД!$H$33</f>
        <v>26</v>
      </c>
      <c r="G22" s="81">
        <f t="shared" si="0"/>
        <v>593.14467000000002</v>
      </c>
      <c r="H22" s="85">
        <f>320530.42/1000</f>
        <v>320.53041999999999</v>
      </c>
      <c r="I22" s="82">
        <f>272614.25/1000</f>
        <v>272.61425000000003</v>
      </c>
      <c r="J22" s="83">
        <f t="shared" si="1"/>
        <v>721.88567000000012</v>
      </c>
      <c r="K22" s="82">
        <f>364525.4/1000</f>
        <v>364.52540000000005</v>
      </c>
      <c r="L22" s="82">
        <f>357360.27/1000</f>
        <v>357.36027000000001</v>
      </c>
      <c r="M22" s="81">
        <f t="shared" si="2"/>
        <v>732.47136</v>
      </c>
      <c r="N22" s="82">
        <f>379876.61/1000</f>
        <v>379.87660999999997</v>
      </c>
      <c r="O22" s="84">
        <f>352594.75/1000</f>
        <v>352.59474999999998</v>
      </c>
      <c r="P22" s="119">
        <f t="shared" si="3"/>
        <v>782.30400000000009</v>
      </c>
      <c r="Q22" s="126">
        <v>377.596</v>
      </c>
      <c r="R22" s="129">
        <v>404.70800000000003</v>
      </c>
      <c r="S22" s="177">
        <f t="shared" si="4"/>
        <v>30.088615384615387</v>
      </c>
    </row>
    <row r="23" spans="1:19">
      <c r="A23" s="1">
        <f t="shared" si="6"/>
        <v>17</v>
      </c>
      <c r="B23" s="79" t="s">
        <v>77</v>
      </c>
      <c r="C23" s="79" t="s">
        <v>83</v>
      </c>
      <c r="D23" s="80">
        <v>10</v>
      </c>
      <c r="E23" s="80"/>
      <c r="F23" s="116">
        <f>[2]МКД!$H$13</f>
        <v>13</v>
      </c>
      <c r="G23" s="81">
        <f t="shared" si="0"/>
        <v>555.40532999999994</v>
      </c>
      <c r="H23" s="82">
        <f>269979.35/1000</f>
        <v>269.97934999999995</v>
      </c>
      <c r="I23" s="82">
        <f>285425.98/1000</f>
        <v>285.42597999999998</v>
      </c>
      <c r="J23" s="83">
        <f t="shared" si="1"/>
        <v>663.90873999999997</v>
      </c>
      <c r="K23" s="82">
        <f>323729.05/1000</f>
        <v>323.72904999999997</v>
      </c>
      <c r="L23" s="82">
        <f>340179.69/1000</f>
        <v>340.17968999999999</v>
      </c>
      <c r="M23" s="81">
        <f t="shared" si="2"/>
        <v>662.29762000000005</v>
      </c>
      <c r="N23" s="82">
        <f>332760.12/1000</f>
        <v>332.76011999999997</v>
      </c>
      <c r="O23" s="84">
        <f>329537.5/1000</f>
        <v>329.53750000000002</v>
      </c>
      <c r="P23" s="119">
        <f t="shared" si="3"/>
        <v>772.04499999999996</v>
      </c>
      <c r="Q23" s="126">
        <v>313.75299999999999</v>
      </c>
      <c r="R23" s="129">
        <v>458.29199999999997</v>
      </c>
      <c r="S23" s="177">
        <f t="shared" si="4"/>
        <v>59.388076923076923</v>
      </c>
    </row>
    <row r="24" spans="1:19">
      <c r="A24" s="1">
        <f t="shared" si="6"/>
        <v>18</v>
      </c>
      <c r="B24" s="79" t="s">
        <v>77</v>
      </c>
      <c r="C24" s="79" t="s">
        <v>57</v>
      </c>
      <c r="D24" s="80">
        <v>13</v>
      </c>
      <c r="E24" s="80"/>
      <c r="F24" s="116">
        <f>[3]МКД!$H$86</f>
        <v>12</v>
      </c>
      <c r="G24" s="81">
        <f t="shared" si="0"/>
        <v>522.63004000000001</v>
      </c>
      <c r="H24" s="85">
        <f>181639.75/1000</f>
        <v>181.63974999999999</v>
      </c>
      <c r="I24" s="82">
        <f>340990.29/1000</f>
        <v>340.99028999999996</v>
      </c>
      <c r="J24" s="83">
        <f t="shared" si="1"/>
        <v>647.01589999999999</v>
      </c>
      <c r="K24" s="82">
        <f>217578.12/1000</f>
        <v>217.57811999999998</v>
      </c>
      <c r="L24" s="82">
        <f>429437.78/1000</f>
        <v>429.43778000000003</v>
      </c>
      <c r="M24" s="81">
        <f t="shared" si="2"/>
        <v>657.00900000000001</v>
      </c>
      <c r="N24" s="82">
        <f>228146.79/1000</f>
        <v>228.14679000000001</v>
      </c>
      <c r="O24" s="84">
        <f>428862.21/1000</f>
        <v>428.86221</v>
      </c>
      <c r="P24" s="119">
        <f t="shared" si="3"/>
        <v>749.31</v>
      </c>
      <c r="Q24" s="126">
        <v>237.459</v>
      </c>
      <c r="R24" s="129">
        <v>511.851</v>
      </c>
      <c r="S24" s="177">
        <f t="shared" si="4"/>
        <v>62.442499999999995</v>
      </c>
    </row>
    <row r="25" spans="1:19">
      <c r="A25" s="1">
        <f t="shared" si="6"/>
        <v>19</v>
      </c>
      <c r="B25" s="79" t="s">
        <v>77</v>
      </c>
      <c r="C25" s="79" t="s">
        <v>92</v>
      </c>
      <c r="D25" s="80">
        <v>41</v>
      </c>
      <c r="E25" s="80"/>
      <c r="F25" s="116">
        <f>[3]МКД!$H$120</f>
        <v>18</v>
      </c>
      <c r="G25" s="81">
        <f t="shared" si="0"/>
        <v>529.37922000000003</v>
      </c>
      <c r="H25" s="85">
        <f>181085.84/1000</f>
        <v>181.08583999999999</v>
      </c>
      <c r="I25" s="82">
        <f>348293.38/1000</f>
        <v>348.29338000000001</v>
      </c>
      <c r="J25" s="83">
        <f t="shared" si="1"/>
        <v>606.15534000000002</v>
      </c>
      <c r="K25" s="82">
        <f>205680.48/1000</f>
        <v>205.68048000000002</v>
      </c>
      <c r="L25" s="82">
        <f>400474.86/1000</f>
        <v>400.47485999999998</v>
      </c>
      <c r="M25" s="81">
        <f t="shared" si="2"/>
        <v>594.35050000000001</v>
      </c>
      <c r="N25" s="82">
        <f>219044.33/1000</f>
        <v>219.04432999999997</v>
      </c>
      <c r="O25" s="84">
        <f>375306.17/1000</f>
        <v>375.30617000000001</v>
      </c>
      <c r="P25" s="119">
        <f t="shared" si="3"/>
        <v>737.96299999999997</v>
      </c>
      <c r="Q25" s="126">
        <v>269.27999999999997</v>
      </c>
      <c r="R25" s="129">
        <v>468.68299999999999</v>
      </c>
      <c r="S25" s="177">
        <f t="shared" si="4"/>
        <v>40.997944444444443</v>
      </c>
    </row>
    <row r="26" spans="1:19">
      <c r="A26" s="1">
        <f t="shared" si="6"/>
        <v>20</v>
      </c>
      <c r="B26" s="79" t="s">
        <v>77</v>
      </c>
      <c r="C26" s="79" t="s">
        <v>99</v>
      </c>
      <c r="D26" s="80">
        <v>41</v>
      </c>
      <c r="E26" s="80" t="s">
        <v>21</v>
      </c>
      <c r="F26" s="116">
        <f>[3]МКД!$H$154</f>
        <v>12</v>
      </c>
      <c r="G26" s="81">
        <f t="shared" si="0"/>
        <v>490.5521</v>
      </c>
      <c r="H26" s="85">
        <f>166792.97/1000</f>
        <v>166.79297</v>
      </c>
      <c r="I26" s="82">
        <f>323759.13/1000</f>
        <v>323.75913000000003</v>
      </c>
      <c r="J26" s="83">
        <f t="shared" si="1"/>
        <v>594.87518</v>
      </c>
      <c r="K26" s="82">
        <f>218938.21/1000</f>
        <v>218.93821</v>
      </c>
      <c r="L26" s="82">
        <f>375936.97/1000</f>
        <v>375.93696999999997</v>
      </c>
      <c r="M26" s="81">
        <f t="shared" si="2"/>
        <v>572.49630000000002</v>
      </c>
      <c r="N26" s="82">
        <f>225089.05/1000</f>
        <v>225.08904999999999</v>
      </c>
      <c r="O26" s="84">
        <f>347407.25/1000</f>
        <v>347.40724999999998</v>
      </c>
      <c r="P26" s="119">
        <f t="shared" si="3"/>
        <v>707.10400000000004</v>
      </c>
      <c r="Q26" s="126">
        <v>213.42699999999999</v>
      </c>
      <c r="R26" s="129">
        <v>493.67700000000002</v>
      </c>
      <c r="S26" s="177">
        <f t="shared" si="4"/>
        <v>58.925333333333334</v>
      </c>
    </row>
    <row r="27" spans="1:19">
      <c r="A27" s="1">
        <f t="shared" si="6"/>
        <v>21</v>
      </c>
      <c r="B27" s="79" t="s">
        <v>77</v>
      </c>
      <c r="C27" s="205" t="s">
        <v>35</v>
      </c>
      <c r="D27" s="206">
        <v>17</v>
      </c>
      <c r="E27" s="206" t="s">
        <v>20</v>
      </c>
      <c r="F27" s="207">
        <f>[2]МКД!$H$34</f>
        <v>8</v>
      </c>
      <c r="G27" s="81">
        <f t="shared" si="0"/>
        <v>449.03868999999997</v>
      </c>
      <c r="H27" s="85">
        <f>107550.59/1000</f>
        <v>107.55059</v>
      </c>
      <c r="I27" s="82">
        <f>341488.1/1000</f>
        <v>341.48809999999997</v>
      </c>
      <c r="J27" s="83">
        <f t="shared" si="1"/>
        <v>608.85890999999992</v>
      </c>
      <c r="K27" s="82">
        <f>165634.43/1000</f>
        <v>165.63442999999998</v>
      </c>
      <c r="L27" s="82">
        <f>443224.48/1000</f>
        <v>443.22447999999997</v>
      </c>
      <c r="M27" s="81">
        <f t="shared" si="2"/>
        <v>617.69551999999999</v>
      </c>
      <c r="N27" s="82">
        <f>178336.97/1000</f>
        <v>178.33697000000001</v>
      </c>
      <c r="O27" s="84">
        <f>439358.55/1000</f>
        <v>439.35854999999998</v>
      </c>
      <c r="P27" s="119">
        <f t="shared" si="3"/>
        <v>702.88</v>
      </c>
      <c r="Q27" s="126">
        <v>196.715</v>
      </c>
      <c r="R27" s="129">
        <v>506.16500000000002</v>
      </c>
      <c r="S27" s="211">
        <f t="shared" si="4"/>
        <v>87.86</v>
      </c>
    </row>
    <row r="28" spans="1:19">
      <c r="A28" s="1">
        <f t="shared" si="6"/>
        <v>22</v>
      </c>
      <c r="B28" s="79" t="s">
        <v>77</v>
      </c>
      <c r="C28" s="79" t="s">
        <v>99</v>
      </c>
      <c r="D28" s="80">
        <v>43</v>
      </c>
      <c r="E28" s="80"/>
      <c r="F28" s="116">
        <f>[3]МКД!$H$155</f>
        <v>27</v>
      </c>
      <c r="G28" s="81">
        <f t="shared" si="0"/>
        <v>635.93113000000005</v>
      </c>
      <c r="H28" s="85">
        <f>256905.63/1000</f>
        <v>256.90563000000003</v>
      </c>
      <c r="I28" s="82">
        <f>379025.5/1000</f>
        <v>379.02550000000002</v>
      </c>
      <c r="J28" s="83">
        <f t="shared" si="1"/>
        <v>764.84100999999998</v>
      </c>
      <c r="K28" s="82">
        <f>302186.96/1000</f>
        <v>302.18696</v>
      </c>
      <c r="L28" s="82">
        <f>462654.05/1000</f>
        <v>462.65404999999998</v>
      </c>
      <c r="M28" s="81">
        <f t="shared" si="2"/>
        <v>752.61428000000001</v>
      </c>
      <c r="N28" s="82">
        <f>307445.29/1000</f>
        <v>307.44529</v>
      </c>
      <c r="O28" s="84">
        <f>445168.99/1000</f>
        <v>445.16899000000001</v>
      </c>
      <c r="P28" s="119">
        <f t="shared" si="3"/>
        <v>689.47900000000004</v>
      </c>
      <c r="Q28" s="126">
        <v>179.13800000000001</v>
      </c>
      <c r="R28" s="129">
        <v>510.34100000000001</v>
      </c>
      <c r="S28" s="177">
        <f t="shared" si="4"/>
        <v>25.536259259259261</v>
      </c>
    </row>
    <row r="29" spans="1:19">
      <c r="A29" s="1">
        <f t="shared" si="6"/>
        <v>23</v>
      </c>
      <c r="B29" s="79" t="s">
        <v>77</v>
      </c>
      <c r="C29" s="79" t="s">
        <v>100</v>
      </c>
      <c r="D29" s="80">
        <v>3</v>
      </c>
      <c r="E29" s="80" t="s">
        <v>21</v>
      </c>
      <c r="F29" s="116">
        <f>[3]МКД!$H$163</f>
        <v>17</v>
      </c>
      <c r="G29" s="81">
        <f t="shared" si="0"/>
        <v>370.51303000000001</v>
      </c>
      <c r="H29" s="82">
        <f>274449.61/1000</f>
        <v>274.44961000000001</v>
      </c>
      <c r="I29" s="82">
        <f>96063.42/1000</f>
        <v>96.063419999999994</v>
      </c>
      <c r="J29" s="83">
        <f t="shared" si="1"/>
        <v>451.85649999999998</v>
      </c>
      <c r="K29" s="82">
        <f>356165.13/1000</f>
        <v>356.16512999999998</v>
      </c>
      <c r="L29" s="82">
        <f>95691.37/1000</f>
        <v>95.691369999999992</v>
      </c>
      <c r="M29" s="81">
        <f t="shared" si="2"/>
        <v>412.20542999999998</v>
      </c>
      <c r="N29" s="82">
        <f>314938.67/1000</f>
        <v>314.93867</v>
      </c>
      <c r="O29" s="84">
        <f>97266.76/1000</f>
        <v>97.266759999999991</v>
      </c>
      <c r="P29" s="119">
        <f t="shared" si="3"/>
        <v>669.94200000000001</v>
      </c>
      <c r="Q29" s="126">
        <v>330.05</v>
      </c>
      <c r="R29" s="129">
        <v>339.892</v>
      </c>
      <c r="S29" s="177">
        <f t="shared" si="4"/>
        <v>39.408352941176474</v>
      </c>
    </row>
    <row r="30" spans="1:19">
      <c r="A30" s="1">
        <f t="shared" si="6"/>
        <v>24</v>
      </c>
      <c r="B30" s="79" t="s">
        <v>77</v>
      </c>
      <c r="C30" s="79" t="s">
        <v>74</v>
      </c>
      <c r="D30" s="80">
        <v>20</v>
      </c>
      <c r="E30" s="80"/>
      <c r="F30" s="116">
        <f>[3]МКД!$H$93</f>
        <v>20</v>
      </c>
      <c r="G30" s="81">
        <f t="shared" si="0"/>
        <v>554.63463000000002</v>
      </c>
      <c r="H30" s="85">
        <f>421743.25/1000</f>
        <v>421.74324999999999</v>
      </c>
      <c r="I30" s="82">
        <f>132891.38/1000</f>
        <v>132.89138</v>
      </c>
      <c r="J30" s="83">
        <f t="shared" si="1"/>
        <v>631.22991000000002</v>
      </c>
      <c r="K30" s="82">
        <f>467001.29/1000</f>
        <v>467.00128999999998</v>
      </c>
      <c r="L30" s="82">
        <f>164228.62/1000</f>
        <v>164.22862000000001</v>
      </c>
      <c r="M30" s="81">
        <f t="shared" si="2"/>
        <v>614.22173999999995</v>
      </c>
      <c r="N30" s="82">
        <f>454899.23/1000</f>
        <v>454.89922999999999</v>
      </c>
      <c r="O30" s="84">
        <f>159322.51/1000</f>
        <v>159.32251000000002</v>
      </c>
      <c r="P30" s="119">
        <f t="shared" si="3"/>
        <v>615.15899999999999</v>
      </c>
      <c r="Q30" s="126">
        <v>439.11900000000003</v>
      </c>
      <c r="R30" s="129">
        <v>176.04</v>
      </c>
      <c r="S30" s="177">
        <f t="shared" si="4"/>
        <v>30.757950000000001</v>
      </c>
    </row>
    <row r="31" spans="1:19">
      <c r="A31" s="1">
        <f t="shared" si="6"/>
        <v>25</v>
      </c>
      <c r="B31" s="79" t="s">
        <v>77</v>
      </c>
      <c r="C31" s="79" t="s">
        <v>19</v>
      </c>
      <c r="D31" s="80">
        <v>28</v>
      </c>
      <c r="E31" s="80"/>
      <c r="F31" s="116">
        <f>[2]МКД!$H$49</f>
        <v>8</v>
      </c>
      <c r="G31" s="81">
        <f t="shared" si="0"/>
        <v>509.90735999999998</v>
      </c>
      <c r="H31" s="85">
        <f>118559.95/1000</f>
        <v>118.55995</v>
      </c>
      <c r="I31" s="82">
        <f>391347.41/1000</f>
        <v>391.34740999999997</v>
      </c>
      <c r="J31" s="83">
        <f t="shared" si="1"/>
        <v>568.44971999999996</v>
      </c>
      <c r="K31" s="82">
        <f>122072.17/1000</f>
        <v>122.07217</v>
      </c>
      <c r="L31" s="82">
        <f>446377.55/1000</f>
        <v>446.37754999999999</v>
      </c>
      <c r="M31" s="81">
        <f t="shared" si="2"/>
        <v>577.81741</v>
      </c>
      <c r="N31" s="82">
        <f>128408.98/1000</f>
        <v>128.40897999999999</v>
      </c>
      <c r="O31" s="84">
        <f>449408.43/1000</f>
        <v>449.40843000000001</v>
      </c>
      <c r="P31" s="119">
        <f t="shared" si="3"/>
        <v>589.69399999999996</v>
      </c>
      <c r="Q31" s="126">
        <v>128.26</v>
      </c>
      <c r="R31" s="129">
        <v>461.43400000000003</v>
      </c>
      <c r="S31" s="177">
        <f t="shared" si="4"/>
        <v>73.711749999999995</v>
      </c>
    </row>
    <row r="32" spans="1:19">
      <c r="A32" s="1">
        <f t="shared" si="6"/>
        <v>26</v>
      </c>
      <c r="B32" s="79" t="s">
        <v>77</v>
      </c>
      <c r="C32" s="79" t="s">
        <v>24</v>
      </c>
      <c r="D32" s="80">
        <v>10</v>
      </c>
      <c r="E32" s="80"/>
      <c r="F32" s="116">
        <f>[2]МКД!$H$29</f>
        <v>20</v>
      </c>
      <c r="G32" s="81">
        <f t="shared" si="0"/>
        <v>441.05297999999999</v>
      </c>
      <c r="H32" s="85">
        <f>200127.15/1000</f>
        <v>200.12715</v>
      </c>
      <c r="I32" s="82">
        <f>240925.83/1000</f>
        <v>240.92582999999999</v>
      </c>
      <c r="J32" s="83">
        <f t="shared" si="1"/>
        <v>551.91432999999995</v>
      </c>
      <c r="K32" s="82">
        <f>236981.79/1000</f>
        <v>236.98179000000002</v>
      </c>
      <c r="L32" s="82">
        <f>314932.54/1000</f>
        <v>314.93253999999996</v>
      </c>
      <c r="M32" s="81">
        <f t="shared" si="2"/>
        <v>494.62877000000003</v>
      </c>
      <c r="N32" s="82">
        <f>224786.78/1000</f>
        <v>224.78677999999999</v>
      </c>
      <c r="O32" s="84">
        <f>269841.99/1000</f>
        <v>269.84199000000001</v>
      </c>
      <c r="P32" s="119">
        <f t="shared" si="3"/>
        <v>548.54700000000003</v>
      </c>
      <c r="Q32" s="126">
        <v>218.404</v>
      </c>
      <c r="R32" s="129">
        <v>330.14299999999997</v>
      </c>
      <c r="S32" s="177">
        <f t="shared" si="4"/>
        <v>27.427350000000001</v>
      </c>
    </row>
    <row r="33" spans="1:19">
      <c r="A33" s="1">
        <f t="shared" si="6"/>
        <v>27</v>
      </c>
      <c r="B33" s="79" t="s">
        <v>77</v>
      </c>
      <c r="C33" s="79" t="s">
        <v>92</v>
      </c>
      <c r="D33" s="80">
        <v>21</v>
      </c>
      <c r="E33" s="80" t="s">
        <v>21</v>
      </c>
      <c r="F33" s="116">
        <f>[3]МКД!$H$110</f>
        <v>12</v>
      </c>
      <c r="G33" s="81">
        <f t="shared" si="0"/>
        <v>436.10293999999999</v>
      </c>
      <c r="H33" s="85">
        <f>200086.43/1000</f>
        <v>200.08643000000001</v>
      </c>
      <c r="I33" s="82">
        <f>236016.51/1000</f>
        <v>236.01651000000001</v>
      </c>
      <c r="J33" s="83">
        <f t="shared" si="1"/>
        <v>494.26902000000001</v>
      </c>
      <c r="K33" s="82">
        <f>231781.68/1000</f>
        <v>231.78167999999999</v>
      </c>
      <c r="L33" s="82">
        <f>262487.34/1000</f>
        <v>262.48734000000002</v>
      </c>
      <c r="M33" s="81">
        <f t="shared" si="2"/>
        <v>483.32463000000001</v>
      </c>
      <c r="N33" s="82">
        <f>236792.96/1000</f>
        <v>236.79295999999999</v>
      </c>
      <c r="O33" s="84">
        <f>246531.67/1000</f>
        <v>246.53167000000002</v>
      </c>
      <c r="P33" s="119">
        <f t="shared" si="3"/>
        <v>541.01800000000003</v>
      </c>
      <c r="Q33" s="126">
        <v>235.96</v>
      </c>
      <c r="R33" s="129">
        <v>305.05799999999999</v>
      </c>
      <c r="S33" s="177">
        <f t="shared" si="4"/>
        <v>45.084833333333336</v>
      </c>
    </row>
    <row r="34" spans="1:19">
      <c r="A34" s="1">
        <f t="shared" si="6"/>
        <v>28</v>
      </c>
      <c r="B34" s="79" t="s">
        <v>77</v>
      </c>
      <c r="C34" s="79" t="s">
        <v>54</v>
      </c>
      <c r="D34" s="80">
        <v>11</v>
      </c>
      <c r="E34" s="80"/>
      <c r="F34" s="116">
        <f>[3]МКД!$H$143</f>
        <v>12</v>
      </c>
      <c r="G34" s="81">
        <f t="shared" si="0"/>
        <v>455.79664000000002</v>
      </c>
      <c r="H34" s="85">
        <f>205946.12/1000</f>
        <v>205.94612000000001</v>
      </c>
      <c r="I34" s="82">
        <f>249850.52/1000</f>
        <v>249.85051999999999</v>
      </c>
      <c r="J34" s="83">
        <f t="shared" si="1"/>
        <v>484.17078000000004</v>
      </c>
      <c r="K34" s="82">
        <f>191607.44/1000</f>
        <v>191.60744</v>
      </c>
      <c r="L34" s="82">
        <f>292563.34/1000</f>
        <v>292.56334000000004</v>
      </c>
      <c r="M34" s="81">
        <f t="shared" si="2"/>
        <v>477.46138999999994</v>
      </c>
      <c r="N34" s="82">
        <f>194338.54/1000</f>
        <v>194.33853999999999</v>
      </c>
      <c r="O34" s="84">
        <f>283122.85/1000</f>
        <v>283.12284999999997</v>
      </c>
      <c r="P34" s="119">
        <f t="shared" si="3"/>
        <v>538.029</v>
      </c>
      <c r="Q34" s="126">
        <v>196.81800000000001</v>
      </c>
      <c r="R34" s="129">
        <v>341.21100000000001</v>
      </c>
      <c r="S34" s="177">
        <f t="shared" si="4"/>
        <v>44.835749999999997</v>
      </c>
    </row>
    <row r="35" spans="1:19">
      <c r="A35" s="1">
        <f t="shared" si="6"/>
        <v>29</v>
      </c>
      <c r="B35" s="79" t="s">
        <v>77</v>
      </c>
      <c r="C35" s="79" t="s">
        <v>90</v>
      </c>
      <c r="D35" s="80">
        <v>6</v>
      </c>
      <c r="E35" s="80"/>
      <c r="F35" s="116">
        <f>[2]МКД!$H$64</f>
        <v>12</v>
      </c>
      <c r="G35" s="81">
        <f t="shared" si="0"/>
        <v>358.70375000000001</v>
      </c>
      <c r="H35" s="85">
        <f>114467.83/1000</f>
        <v>114.46783000000001</v>
      </c>
      <c r="I35" s="82">
        <f>244235.92/1000</f>
        <v>244.23592000000002</v>
      </c>
      <c r="J35" s="83">
        <f t="shared" si="1"/>
        <v>463.21646999999996</v>
      </c>
      <c r="K35" s="82">
        <f>157122.15/1000</f>
        <v>157.12215</v>
      </c>
      <c r="L35" s="82">
        <f>306094.32/1000</f>
        <v>306.09431999999998</v>
      </c>
      <c r="M35" s="81">
        <f t="shared" si="2"/>
        <v>447.45374000000004</v>
      </c>
      <c r="N35" s="82">
        <f>156885.04/1000</f>
        <v>156.88504</v>
      </c>
      <c r="O35" s="84">
        <f>290568.7/1000</f>
        <v>290.56870000000004</v>
      </c>
      <c r="P35" s="119">
        <f t="shared" si="3"/>
        <v>536.09699999999998</v>
      </c>
      <c r="Q35" s="126">
        <v>147.74</v>
      </c>
      <c r="R35" s="129">
        <v>388.35700000000003</v>
      </c>
      <c r="S35" s="177">
        <f t="shared" si="4"/>
        <v>44.674749999999996</v>
      </c>
    </row>
    <row r="36" spans="1:19">
      <c r="A36" s="1">
        <f t="shared" si="6"/>
        <v>30</v>
      </c>
      <c r="B36" s="79" t="s">
        <v>77</v>
      </c>
      <c r="C36" s="79" t="s">
        <v>99</v>
      </c>
      <c r="D36" s="80">
        <v>44</v>
      </c>
      <c r="E36" s="80"/>
      <c r="F36" s="116">
        <f>[3]МКД!$H$157</f>
        <v>12</v>
      </c>
      <c r="G36" s="81">
        <f t="shared" si="0"/>
        <v>421.30606</v>
      </c>
      <c r="H36" s="85">
        <f>146771.62/1000</f>
        <v>146.77161999999998</v>
      </c>
      <c r="I36" s="82">
        <f>274534.44/1000</f>
        <v>274.53444000000002</v>
      </c>
      <c r="J36" s="83">
        <f t="shared" si="1"/>
        <v>378.45853999999997</v>
      </c>
      <c r="K36" s="82">
        <f>138390.96/1000</f>
        <v>138.39095999999998</v>
      </c>
      <c r="L36" s="82">
        <f>240067.58/1000</f>
        <v>240.06757999999999</v>
      </c>
      <c r="M36" s="81">
        <f t="shared" si="2"/>
        <v>377.72951</v>
      </c>
      <c r="N36" s="82">
        <f>150874.97/1000</f>
        <v>150.87496999999999</v>
      </c>
      <c r="O36" s="84">
        <f>226854.54/1000</f>
        <v>226.85454000000001</v>
      </c>
      <c r="P36" s="119">
        <f t="shared" si="3"/>
        <v>519.64599999999996</v>
      </c>
      <c r="Q36" s="126">
        <v>188.08799999999999</v>
      </c>
      <c r="R36" s="129">
        <v>331.55799999999999</v>
      </c>
      <c r="S36" s="177">
        <f t="shared" si="4"/>
        <v>43.30383333333333</v>
      </c>
    </row>
    <row r="37" spans="1:19">
      <c r="A37" s="1">
        <f t="shared" si="6"/>
        <v>31</v>
      </c>
      <c r="B37" s="79" t="s">
        <v>77</v>
      </c>
      <c r="C37" s="79" t="s">
        <v>73</v>
      </c>
      <c r="D37" s="80">
        <v>2</v>
      </c>
      <c r="E37" s="80"/>
      <c r="F37" s="116">
        <f>[3]МКД!$H$75</f>
        <v>24</v>
      </c>
      <c r="G37" s="81">
        <f t="shared" si="0"/>
        <v>518.92228999999998</v>
      </c>
      <c r="H37" s="85">
        <f>143341.61/1000</f>
        <v>143.34160999999997</v>
      </c>
      <c r="I37" s="82">
        <f>375580.68/1000</f>
        <v>375.58067999999997</v>
      </c>
      <c r="J37" s="83">
        <f t="shared" si="1"/>
        <v>510.20745999999997</v>
      </c>
      <c r="K37" s="82">
        <f>140188.48/1000</f>
        <v>140.18848</v>
      </c>
      <c r="L37" s="82">
        <f>370018.98/1000</f>
        <v>370.01898</v>
      </c>
      <c r="M37" s="81">
        <f t="shared" si="2"/>
        <v>497.81299000000001</v>
      </c>
      <c r="N37" s="82">
        <f>145069.36/1000</f>
        <v>145.06935999999999</v>
      </c>
      <c r="O37" s="84">
        <f>352743.63/1000</f>
        <v>352.74363</v>
      </c>
      <c r="P37" s="119">
        <f t="shared" si="3"/>
        <v>500.56</v>
      </c>
      <c r="Q37" s="126">
        <v>147.56299999999999</v>
      </c>
      <c r="R37" s="129">
        <v>352.99700000000001</v>
      </c>
      <c r="S37" s="177">
        <f t="shared" si="4"/>
        <v>20.856666666666666</v>
      </c>
    </row>
    <row r="38" spans="1:19">
      <c r="A38" s="1">
        <f t="shared" si="6"/>
        <v>32</v>
      </c>
      <c r="B38" s="79" t="s">
        <v>77</v>
      </c>
      <c r="C38" s="79" t="s">
        <v>74</v>
      </c>
      <c r="D38" s="80">
        <v>3</v>
      </c>
      <c r="E38" s="80"/>
      <c r="F38" s="116">
        <f>[3]МКД!$H$89</f>
        <v>12</v>
      </c>
      <c r="G38" s="81">
        <f t="shared" si="0"/>
        <v>445.35462999999999</v>
      </c>
      <c r="H38" s="85">
        <f>260602.76/1000</f>
        <v>260.60275999999999</v>
      </c>
      <c r="I38" s="82">
        <f>184751.87/1000</f>
        <v>184.75187</v>
      </c>
      <c r="J38" s="83">
        <f t="shared" si="1"/>
        <v>515.46306000000004</v>
      </c>
      <c r="K38" s="82">
        <f>296670.83/1000</f>
        <v>296.67083000000002</v>
      </c>
      <c r="L38" s="82">
        <f>218792.23/1000</f>
        <v>218.79223000000002</v>
      </c>
      <c r="M38" s="81">
        <f t="shared" si="2"/>
        <v>489.81730000000005</v>
      </c>
      <c r="N38" s="82">
        <f>296211.84/1000</f>
        <v>296.21184000000005</v>
      </c>
      <c r="O38" s="84">
        <f>193605.46/1000</f>
        <v>193.60545999999999</v>
      </c>
      <c r="P38" s="119">
        <f t="shared" si="3"/>
        <v>489.673</v>
      </c>
      <c r="Q38" s="126">
        <v>250.03100000000001</v>
      </c>
      <c r="R38" s="129">
        <v>239.642</v>
      </c>
      <c r="S38" s="177">
        <f t="shared" si="4"/>
        <v>40.806083333333333</v>
      </c>
    </row>
    <row r="39" spans="1:19">
      <c r="A39" s="1">
        <f t="shared" si="6"/>
        <v>33</v>
      </c>
      <c r="B39" s="79" t="s">
        <v>77</v>
      </c>
      <c r="C39" s="79" t="s">
        <v>92</v>
      </c>
      <c r="D39" s="80">
        <v>21</v>
      </c>
      <c r="E39" s="80" t="s">
        <v>20</v>
      </c>
      <c r="F39" s="116">
        <f>[3]МКД!$H$109</f>
        <v>12</v>
      </c>
      <c r="G39" s="81">
        <f t="shared" ref="G39:G70" si="7">H39+I39</f>
        <v>318.59866</v>
      </c>
      <c r="H39" s="85">
        <f>109182.15/1000</f>
        <v>109.18214999999999</v>
      </c>
      <c r="I39" s="82">
        <f>209416.51/1000</f>
        <v>209.41651000000002</v>
      </c>
      <c r="J39" s="83">
        <f t="shared" ref="J39:J70" si="8">K39+L39</f>
        <v>377.55705</v>
      </c>
      <c r="K39" s="82">
        <f>144537.6/1000</f>
        <v>144.5376</v>
      </c>
      <c r="L39" s="82">
        <f>233019.45/1000</f>
        <v>233.01945000000001</v>
      </c>
      <c r="M39" s="81">
        <f t="shared" ref="M39:M70" si="9">N39+O39</f>
        <v>384.60648000000003</v>
      </c>
      <c r="N39" s="82">
        <f>158899.69/1000</f>
        <v>158.89968999999999</v>
      </c>
      <c r="O39" s="84">
        <f>225706.79/1000</f>
        <v>225.70679000000001</v>
      </c>
      <c r="P39" s="119">
        <f t="shared" ref="P39:P70" si="10">Q39+R39</f>
        <v>489.37099999999998</v>
      </c>
      <c r="Q39" s="126">
        <v>165.268</v>
      </c>
      <c r="R39" s="129">
        <v>324.10300000000001</v>
      </c>
      <c r="S39" s="177">
        <f t="shared" ref="S39:S70" si="11">P39/F39</f>
        <v>40.780916666666663</v>
      </c>
    </row>
    <row r="40" spans="1:19">
      <c r="A40" s="1">
        <f t="shared" si="6"/>
        <v>34</v>
      </c>
      <c r="B40" s="79" t="s">
        <v>77</v>
      </c>
      <c r="C40" s="178" t="s">
        <v>80</v>
      </c>
      <c r="D40" s="140">
        <v>8</v>
      </c>
      <c r="E40" s="140" t="s">
        <v>21</v>
      </c>
      <c r="F40" s="75">
        <f>[1]МКД!$H$124</f>
        <v>36</v>
      </c>
      <c r="G40" s="148">
        <f t="shared" si="7"/>
        <v>418.71000000000004</v>
      </c>
      <c r="H40" s="184">
        <v>177.99</v>
      </c>
      <c r="I40" s="188">
        <v>240.72</v>
      </c>
      <c r="J40" s="149">
        <f t="shared" si="8"/>
        <v>526.14</v>
      </c>
      <c r="K40" s="184">
        <v>211.02</v>
      </c>
      <c r="L40" s="188">
        <v>315.12</v>
      </c>
      <c r="M40" s="148">
        <f t="shared" si="9"/>
        <v>490.03</v>
      </c>
      <c r="N40" s="184">
        <v>211.46</v>
      </c>
      <c r="O40" s="190">
        <v>278.57</v>
      </c>
      <c r="P40" s="150">
        <f t="shared" si="10"/>
        <v>454.3</v>
      </c>
      <c r="Q40" s="186">
        <v>187.11</v>
      </c>
      <c r="R40" s="194">
        <v>267.19</v>
      </c>
      <c r="S40" s="151">
        <f t="shared" si="11"/>
        <v>12.619444444444445</v>
      </c>
    </row>
    <row r="41" spans="1:19">
      <c r="A41" s="1">
        <f t="shared" si="6"/>
        <v>35</v>
      </c>
      <c r="B41" s="79" t="s">
        <v>77</v>
      </c>
      <c r="C41" s="79" t="s">
        <v>83</v>
      </c>
      <c r="D41" s="80">
        <v>48</v>
      </c>
      <c r="E41" s="80"/>
      <c r="F41" s="116">
        <f>[2]МКД!$H$20</f>
        <v>12</v>
      </c>
      <c r="G41" s="81">
        <f t="shared" si="7"/>
        <v>213.42690000000002</v>
      </c>
      <c r="H41" s="85">
        <f>130260.77/1000</f>
        <v>130.26077000000001</v>
      </c>
      <c r="I41" s="82">
        <f>83166.13/1000</f>
        <v>83.16613000000001</v>
      </c>
      <c r="J41" s="83">
        <f t="shared" si="8"/>
        <v>262.43003999999996</v>
      </c>
      <c r="K41" s="82">
        <f>142664.03/1000</f>
        <v>142.66403</v>
      </c>
      <c r="L41" s="82">
        <f>119766.01/1000</f>
        <v>119.76600999999999</v>
      </c>
      <c r="M41" s="81">
        <f t="shared" si="9"/>
        <v>270.17674</v>
      </c>
      <c r="N41" s="82">
        <f>145160.51/1000</f>
        <v>145.16051000000002</v>
      </c>
      <c r="O41" s="84">
        <f>125016.23/1000</f>
        <v>125.01622999999999</v>
      </c>
      <c r="P41" s="119">
        <f t="shared" si="10"/>
        <v>449.11799999999999</v>
      </c>
      <c r="Q41" s="126">
        <v>221.28700000000001</v>
      </c>
      <c r="R41" s="129">
        <v>227.83099999999999</v>
      </c>
      <c r="S41" s="177">
        <f t="shared" si="11"/>
        <v>37.426499999999997</v>
      </c>
    </row>
    <row r="42" spans="1:19">
      <c r="A42" s="1">
        <f t="shared" si="6"/>
        <v>36</v>
      </c>
      <c r="B42" s="79" t="s">
        <v>77</v>
      </c>
      <c r="C42" s="79" t="s">
        <v>35</v>
      </c>
      <c r="D42" s="80">
        <v>23</v>
      </c>
      <c r="E42" s="80"/>
      <c r="F42" s="116">
        <f>[2]МКД!$H$36</f>
        <v>12</v>
      </c>
      <c r="G42" s="81">
        <f t="shared" si="7"/>
        <v>295.94776999999999</v>
      </c>
      <c r="H42" s="85">
        <f>89451.72/1000</f>
        <v>89.451719999999995</v>
      </c>
      <c r="I42" s="82">
        <f>206496.05/1000</f>
        <v>206.49605</v>
      </c>
      <c r="J42" s="83">
        <f t="shared" si="8"/>
        <v>363.21244000000002</v>
      </c>
      <c r="K42" s="82">
        <f>111720.34/1000</f>
        <v>111.72033999999999</v>
      </c>
      <c r="L42" s="82">
        <f>251492.1/1000</f>
        <v>251.49209999999999</v>
      </c>
      <c r="M42" s="81">
        <f t="shared" si="9"/>
        <v>355.98935</v>
      </c>
      <c r="N42" s="82">
        <f>115003.76/1000</f>
        <v>115.00376</v>
      </c>
      <c r="O42" s="84">
        <f>240985.59/1000</f>
        <v>240.98559</v>
      </c>
      <c r="P42" s="119">
        <f t="shared" si="10"/>
        <v>444.76400000000001</v>
      </c>
      <c r="Q42" s="126">
        <v>146.41499999999999</v>
      </c>
      <c r="R42" s="129">
        <v>298.34899999999999</v>
      </c>
      <c r="S42" s="177">
        <f t="shared" si="11"/>
        <v>37.06366666666667</v>
      </c>
    </row>
    <row r="43" spans="1:19">
      <c r="A43" s="1">
        <f t="shared" si="6"/>
        <v>37</v>
      </c>
      <c r="B43" s="79" t="s">
        <v>77</v>
      </c>
      <c r="C43" s="79" t="s">
        <v>83</v>
      </c>
      <c r="D43" s="80">
        <v>8</v>
      </c>
      <c r="E43" s="80"/>
      <c r="F43" s="116">
        <f>[2]МКД!$H$12</f>
        <v>12</v>
      </c>
      <c r="G43" s="81">
        <f t="shared" si="7"/>
        <v>242.41165999999998</v>
      </c>
      <c r="H43" s="82">
        <f>105479.43/1000</f>
        <v>105.47942999999999</v>
      </c>
      <c r="I43" s="82">
        <f>136932.23/1000</f>
        <v>136.93223</v>
      </c>
      <c r="J43" s="83">
        <f t="shared" si="8"/>
        <v>293.60480000000001</v>
      </c>
      <c r="K43" s="82">
        <f>134222.41/1000</f>
        <v>134.22241</v>
      </c>
      <c r="L43" s="82">
        <f>159382.39/1000</f>
        <v>159.38239000000002</v>
      </c>
      <c r="M43" s="81">
        <f t="shared" si="9"/>
        <v>287.45915000000002</v>
      </c>
      <c r="N43" s="82">
        <f>140398.17/1000</f>
        <v>140.39817000000002</v>
      </c>
      <c r="O43" s="84">
        <f>147060.98/1000</f>
        <v>147.06098</v>
      </c>
      <c r="P43" s="119">
        <f t="shared" si="10"/>
        <v>440.25400000000002</v>
      </c>
      <c r="Q43" s="126">
        <v>153.35</v>
      </c>
      <c r="R43" s="129">
        <v>286.904</v>
      </c>
      <c r="S43" s="177">
        <f t="shared" si="11"/>
        <v>36.687833333333337</v>
      </c>
    </row>
    <row r="44" spans="1:19">
      <c r="A44" s="1">
        <f t="shared" si="6"/>
        <v>38</v>
      </c>
      <c r="B44" s="79" t="s">
        <v>77</v>
      </c>
      <c r="C44" s="79" t="s">
        <v>99</v>
      </c>
      <c r="D44" s="80">
        <v>20</v>
      </c>
      <c r="E44" s="80"/>
      <c r="F44" s="116">
        <f>[3]МКД!$H$147</f>
        <v>12</v>
      </c>
      <c r="G44" s="81">
        <f t="shared" si="7"/>
        <v>392.01252999999997</v>
      </c>
      <c r="H44" s="85">
        <f>138440.84/1000</f>
        <v>138.44084000000001</v>
      </c>
      <c r="I44" s="82">
        <f>253571.69/1000</f>
        <v>253.57168999999999</v>
      </c>
      <c r="J44" s="83">
        <f t="shared" si="8"/>
        <v>496.48894000000001</v>
      </c>
      <c r="K44" s="82">
        <f>182443.13/1000</f>
        <v>182.44313</v>
      </c>
      <c r="L44" s="82">
        <f>314045.81/1000</f>
        <v>314.04581000000002</v>
      </c>
      <c r="M44" s="81">
        <f t="shared" si="9"/>
        <v>392.18567999999999</v>
      </c>
      <c r="N44" s="82">
        <f>147194.88/1000</f>
        <v>147.19488000000001</v>
      </c>
      <c r="O44" s="84">
        <f>244990.8/1000</f>
        <v>244.99079999999998</v>
      </c>
      <c r="P44" s="119">
        <f t="shared" si="10"/>
        <v>431.71</v>
      </c>
      <c r="Q44" s="126">
        <v>121.681</v>
      </c>
      <c r="R44" s="129">
        <v>310.029</v>
      </c>
      <c r="S44" s="177">
        <f t="shared" si="11"/>
        <v>35.975833333333334</v>
      </c>
    </row>
    <row r="45" spans="1:19">
      <c r="A45" s="1">
        <f t="shared" si="6"/>
        <v>39</v>
      </c>
      <c r="B45" s="79" t="s">
        <v>77</v>
      </c>
      <c r="C45" s="79" t="s">
        <v>99</v>
      </c>
      <c r="D45" s="80">
        <v>14</v>
      </c>
      <c r="E45" s="80"/>
      <c r="F45" s="116">
        <f>[3]МКД!$H$146</f>
        <v>35</v>
      </c>
      <c r="G45" s="81">
        <f t="shared" si="7"/>
        <v>417.02134999999998</v>
      </c>
      <c r="H45" s="85">
        <f>196169.38/1000</f>
        <v>196.16938000000002</v>
      </c>
      <c r="I45" s="82">
        <f>220851.97/1000</f>
        <v>220.85196999999999</v>
      </c>
      <c r="J45" s="83">
        <f t="shared" si="8"/>
        <v>444.34081000000003</v>
      </c>
      <c r="K45" s="82">
        <f>215253.5/1000</f>
        <v>215.2535</v>
      </c>
      <c r="L45" s="82">
        <f>229087.31/1000</f>
        <v>229.08731</v>
      </c>
      <c r="M45" s="81">
        <f t="shared" si="9"/>
        <v>412.49144999999999</v>
      </c>
      <c r="N45" s="82">
        <f>216027.48/1000</f>
        <v>216.02748</v>
      </c>
      <c r="O45" s="84">
        <f>196463.97/1000</f>
        <v>196.46396999999999</v>
      </c>
      <c r="P45" s="119">
        <f t="shared" si="10"/>
        <v>431.25200000000001</v>
      </c>
      <c r="Q45" s="126">
        <v>197.72300000000001</v>
      </c>
      <c r="R45" s="129">
        <v>233.529</v>
      </c>
      <c r="S45" s="177">
        <f t="shared" si="11"/>
        <v>12.321485714285714</v>
      </c>
    </row>
    <row r="46" spans="1:19">
      <c r="A46" s="1">
        <f t="shared" si="6"/>
        <v>40</v>
      </c>
      <c r="B46" s="79" t="s">
        <v>77</v>
      </c>
      <c r="C46" s="79" t="s">
        <v>99</v>
      </c>
      <c r="D46" s="80">
        <v>22</v>
      </c>
      <c r="E46" s="80"/>
      <c r="F46" s="116">
        <f>[3]МКД!$H$148</f>
        <v>12</v>
      </c>
      <c r="G46" s="81">
        <f t="shared" si="7"/>
        <v>307.88152000000002</v>
      </c>
      <c r="H46" s="85">
        <f>136916.17/1000</f>
        <v>136.91617000000002</v>
      </c>
      <c r="I46" s="82">
        <f>170965.35/1000</f>
        <v>170.96535</v>
      </c>
      <c r="J46" s="83">
        <f t="shared" si="8"/>
        <v>364.33118999999999</v>
      </c>
      <c r="K46" s="82">
        <f>157792.51/1000</f>
        <v>157.79251000000002</v>
      </c>
      <c r="L46" s="82">
        <f>206538.68/1000</f>
        <v>206.53868</v>
      </c>
      <c r="M46" s="81">
        <f t="shared" si="9"/>
        <v>347.39219000000003</v>
      </c>
      <c r="N46" s="82">
        <f>157678.71/1000</f>
        <v>157.67871</v>
      </c>
      <c r="O46" s="84">
        <f>189713.48/1000</f>
        <v>189.71348</v>
      </c>
      <c r="P46" s="119">
        <f t="shared" si="10"/>
        <v>425.10900000000004</v>
      </c>
      <c r="Q46" s="126">
        <v>123.68899999999999</v>
      </c>
      <c r="R46" s="129">
        <v>301.42</v>
      </c>
      <c r="S46" s="177">
        <f t="shared" si="11"/>
        <v>35.425750000000001</v>
      </c>
    </row>
    <row r="47" spans="1:19">
      <c r="A47" s="1">
        <f t="shared" si="6"/>
        <v>41</v>
      </c>
      <c r="B47" s="79" t="s">
        <v>77</v>
      </c>
      <c r="C47" s="79" t="s">
        <v>37</v>
      </c>
      <c r="D47" s="80">
        <v>35</v>
      </c>
      <c r="E47" s="80"/>
      <c r="F47" s="116">
        <f>'[1]снесены, расселены'!$J$131</f>
        <v>25</v>
      </c>
      <c r="G47" s="81">
        <f t="shared" si="7"/>
        <v>384.82</v>
      </c>
      <c r="H47" s="85">
        <f>41.15+51.59</f>
        <v>92.740000000000009</v>
      </c>
      <c r="I47" s="82">
        <f>140.2+151.88</f>
        <v>292.08</v>
      </c>
      <c r="J47" s="83">
        <f t="shared" si="8"/>
        <v>367.12000000000006</v>
      </c>
      <c r="K47" s="82">
        <f>41.15+52.9</f>
        <v>94.05</v>
      </c>
      <c r="L47" s="82">
        <f>137.83+135.24</f>
        <v>273.07000000000005</v>
      </c>
      <c r="M47" s="81">
        <f t="shared" si="9"/>
        <v>367.12000000000006</v>
      </c>
      <c r="N47" s="82">
        <f>41.15+52.9</f>
        <v>94.05</v>
      </c>
      <c r="O47" s="84">
        <f>137.83+135.24</f>
        <v>273.07000000000005</v>
      </c>
      <c r="P47" s="119">
        <f t="shared" si="10"/>
        <v>418.28699999999998</v>
      </c>
      <c r="Q47" s="126">
        <f>57.688+50.87</f>
        <v>108.55799999999999</v>
      </c>
      <c r="R47" s="129">
        <f>154.349+155.38</f>
        <v>309.72899999999998</v>
      </c>
      <c r="S47" s="177">
        <f t="shared" si="11"/>
        <v>16.731479999999998</v>
      </c>
    </row>
    <row r="48" spans="1:19">
      <c r="A48" s="1">
        <f t="shared" si="6"/>
        <v>42</v>
      </c>
      <c r="B48" s="79" t="s">
        <v>77</v>
      </c>
      <c r="C48" s="79" t="s">
        <v>99</v>
      </c>
      <c r="D48" s="80">
        <v>26</v>
      </c>
      <c r="E48" s="80"/>
      <c r="F48" s="116">
        <f>[3]МКД!$H$149</f>
        <v>12</v>
      </c>
      <c r="G48" s="81">
        <f t="shared" si="7"/>
        <v>417.99843999999996</v>
      </c>
      <c r="H48" s="85">
        <f>169571.29/1000</f>
        <v>169.57129</v>
      </c>
      <c r="I48" s="82">
        <f>248427.15/1000</f>
        <v>248.42714999999998</v>
      </c>
      <c r="J48" s="83">
        <f t="shared" si="8"/>
        <v>492.07650999999998</v>
      </c>
      <c r="K48" s="82">
        <f>199405.65/1000</f>
        <v>199.40564999999998</v>
      </c>
      <c r="L48" s="82">
        <f>292670.86/1000</f>
        <v>292.67086</v>
      </c>
      <c r="M48" s="81">
        <f t="shared" si="9"/>
        <v>443.08528000000001</v>
      </c>
      <c r="N48" s="82">
        <f>188719.84/1000</f>
        <v>188.71984</v>
      </c>
      <c r="O48" s="84">
        <f>254365.44/1000</f>
        <v>254.36544000000001</v>
      </c>
      <c r="P48" s="119">
        <f t="shared" si="10"/>
        <v>409.32099999999997</v>
      </c>
      <c r="Q48" s="126">
        <v>139.61099999999999</v>
      </c>
      <c r="R48" s="129">
        <v>269.70999999999998</v>
      </c>
      <c r="S48" s="177">
        <f t="shared" si="11"/>
        <v>34.110083333333328</v>
      </c>
    </row>
    <row r="49" spans="1:19">
      <c r="A49" s="1">
        <f t="shared" si="6"/>
        <v>43</v>
      </c>
      <c r="B49" s="79" t="s">
        <v>77</v>
      </c>
      <c r="C49" s="79" t="s">
        <v>37</v>
      </c>
      <c r="D49" s="80">
        <v>34</v>
      </c>
      <c r="E49" s="80"/>
      <c r="F49" s="116">
        <f>[3]МКД!$H$85</f>
        <v>12</v>
      </c>
      <c r="G49" s="81">
        <f t="shared" si="7"/>
        <v>314.94443999999999</v>
      </c>
      <c r="H49" s="85">
        <f>130634.48/1000</f>
        <v>130.63448</v>
      </c>
      <c r="I49" s="82">
        <f>184309.96/1000</f>
        <v>184.30995999999999</v>
      </c>
      <c r="J49" s="83">
        <f t="shared" si="8"/>
        <v>357.95405000000005</v>
      </c>
      <c r="K49" s="82">
        <f>141017.91/1000</f>
        <v>141.01791</v>
      </c>
      <c r="L49" s="82">
        <f>216936.14/1000</f>
        <v>216.93614000000002</v>
      </c>
      <c r="M49" s="81">
        <f t="shared" si="9"/>
        <v>353.22293000000002</v>
      </c>
      <c r="N49" s="82">
        <f>149565.82/1000</f>
        <v>149.56582</v>
      </c>
      <c r="O49" s="84">
        <f>203657.11/1000</f>
        <v>203.65710999999999</v>
      </c>
      <c r="P49" s="119">
        <f t="shared" si="10"/>
        <v>399.52300000000002</v>
      </c>
      <c r="Q49" s="126">
        <v>142.35900000000001</v>
      </c>
      <c r="R49" s="129">
        <v>257.16399999999999</v>
      </c>
      <c r="S49" s="177">
        <f t="shared" si="11"/>
        <v>33.293583333333338</v>
      </c>
    </row>
    <row r="50" spans="1:19">
      <c r="A50" s="1">
        <f t="shared" si="6"/>
        <v>44</v>
      </c>
      <c r="B50" s="79" t="s">
        <v>77</v>
      </c>
      <c r="C50" s="79" t="s">
        <v>24</v>
      </c>
      <c r="D50" s="80">
        <v>12</v>
      </c>
      <c r="E50" s="80"/>
      <c r="F50" s="131">
        <f>[2]МКД!$H$30</f>
        <v>20</v>
      </c>
      <c r="G50" s="81">
        <f t="shared" si="7"/>
        <v>384.36901</v>
      </c>
      <c r="H50" s="85">
        <f>163625.01/1000</f>
        <v>163.62501</v>
      </c>
      <c r="I50" s="82">
        <f>220744/1000</f>
        <v>220.744</v>
      </c>
      <c r="J50" s="83">
        <f t="shared" si="8"/>
        <v>384.98380000000003</v>
      </c>
      <c r="K50" s="82">
        <f>167709.85/1000</f>
        <v>167.70985000000002</v>
      </c>
      <c r="L50" s="82">
        <f>217273.95/1000</f>
        <v>217.27395000000001</v>
      </c>
      <c r="M50" s="81">
        <f t="shared" si="9"/>
        <v>376.31858999999997</v>
      </c>
      <c r="N50" s="82">
        <f>173674.77/1000</f>
        <v>173.67477</v>
      </c>
      <c r="O50" s="84">
        <f>202643.82/1000</f>
        <v>202.64382000000001</v>
      </c>
      <c r="P50" s="119">
        <f t="shared" si="10"/>
        <v>383.50099999999998</v>
      </c>
      <c r="Q50" s="126">
        <v>174.749</v>
      </c>
      <c r="R50" s="129">
        <v>208.75200000000001</v>
      </c>
      <c r="S50" s="177">
        <f t="shared" si="11"/>
        <v>19.175049999999999</v>
      </c>
    </row>
    <row r="51" spans="1:19">
      <c r="A51" s="1">
        <f t="shared" si="6"/>
        <v>45</v>
      </c>
      <c r="B51" s="79" t="s">
        <v>77</v>
      </c>
      <c r="C51" s="79" t="s">
        <v>74</v>
      </c>
      <c r="D51" s="80">
        <v>12</v>
      </c>
      <c r="E51" s="80"/>
      <c r="F51" s="116">
        <f>[3]МКД!$H$90</f>
        <v>8</v>
      </c>
      <c r="G51" s="81">
        <f t="shared" si="7"/>
        <v>216.38633999999999</v>
      </c>
      <c r="H51" s="85">
        <f>94766.11/1000</f>
        <v>94.766109999999998</v>
      </c>
      <c r="I51" s="82">
        <f>121620.23/1000</f>
        <v>121.62022999999999</v>
      </c>
      <c r="J51" s="83">
        <f t="shared" si="8"/>
        <v>230.68520999999998</v>
      </c>
      <c r="K51" s="82">
        <f>111763.09/1000</f>
        <v>111.76308999999999</v>
      </c>
      <c r="L51" s="82">
        <f>118922.12/1000</f>
        <v>118.92211999999999</v>
      </c>
      <c r="M51" s="81">
        <f t="shared" si="9"/>
        <v>232.66412</v>
      </c>
      <c r="N51" s="82">
        <f>122966.47/1000</f>
        <v>122.96647</v>
      </c>
      <c r="O51" s="84">
        <f>109697.65/1000</f>
        <v>109.69765</v>
      </c>
      <c r="P51" s="119">
        <f t="shared" si="10"/>
        <v>372.09800000000001</v>
      </c>
      <c r="Q51" s="126">
        <v>110.79</v>
      </c>
      <c r="R51" s="129">
        <v>261.30799999999999</v>
      </c>
      <c r="S51" s="177">
        <f t="shared" si="11"/>
        <v>46.512250000000002</v>
      </c>
    </row>
    <row r="52" spans="1:19">
      <c r="A52" s="1">
        <f t="shared" si="6"/>
        <v>46</v>
      </c>
      <c r="B52" s="79" t="s">
        <v>77</v>
      </c>
      <c r="C52" s="79" t="s">
        <v>87</v>
      </c>
      <c r="D52" s="80">
        <v>8</v>
      </c>
      <c r="E52" s="80" t="s">
        <v>20</v>
      </c>
      <c r="F52" s="116">
        <f>[2]МКД!$H$39</f>
        <v>12</v>
      </c>
      <c r="G52" s="81">
        <f t="shared" si="7"/>
        <v>260.81283999999999</v>
      </c>
      <c r="H52" s="85">
        <f>100650.69/1000</f>
        <v>100.65069</v>
      </c>
      <c r="I52" s="82">
        <f>160162.15/1000</f>
        <v>160.16215</v>
      </c>
      <c r="J52" s="83">
        <f t="shared" si="8"/>
        <v>298.12617999999998</v>
      </c>
      <c r="K52" s="82">
        <f>121602.83/1000</f>
        <v>121.60283</v>
      </c>
      <c r="L52" s="82">
        <f>176523.35/1000</f>
        <v>176.52334999999999</v>
      </c>
      <c r="M52" s="81">
        <f t="shared" si="9"/>
        <v>278.62941000000001</v>
      </c>
      <c r="N52" s="82">
        <f>127029.15/1000</f>
        <v>127.02914999999999</v>
      </c>
      <c r="O52" s="84">
        <f>151600.26/1000</f>
        <v>151.60026000000002</v>
      </c>
      <c r="P52" s="119">
        <f t="shared" si="10"/>
        <v>368.32799999999997</v>
      </c>
      <c r="Q52" s="126">
        <v>119.182</v>
      </c>
      <c r="R52" s="129">
        <v>249.14599999999999</v>
      </c>
      <c r="S52" s="177">
        <f t="shared" si="11"/>
        <v>30.693999999999999</v>
      </c>
    </row>
    <row r="53" spans="1:19">
      <c r="A53" s="1">
        <f t="shared" si="6"/>
        <v>47</v>
      </c>
      <c r="B53" s="79" t="s">
        <v>77</v>
      </c>
      <c r="C53" s="79" t="s">
        <v>74</v>
      </c>
      <c r="D53" s="80">
        <v>1</v>
      </c>
      <c r="E53" s="80"/>
      <c r="F53" s="116">
        <f>[3]МКД!$H$87</f>
        <v>10</v>
      </c>
      <c r="G53" s="81">
        <f t="shared" si="7"/>
        <v>289.68985999999995</v>
      </c>
      <c r="H53" s="85">
        <f>128724.62/1000</f>
        <v>128.72461999999999</v>
      </c>
      <c r="I53" s="82">
        <f>160965.24/1000</f>
        <v>160.96523999999999</v>
      </c>
      <c r="J53" s="83">
        <f t="shared" si="8"/>
        <v>391.30604</v>
      </c>
      <c r="K53" s="82">
        <f>184368.87/1000</f>
        <v>184.36886999999999</v>
      </c>
      <c r="L53" s="82">
        <f>206937.17/1000</f>
        <v>206.93717000000001</v>
      </c>
      <c r="M53" s="81">
        <f t="shared" si="9"/>
        <v>326.20659000000001</v>
      </c>
      <c r="N53" s="82">
        <f>163742.98/1000</f>
        <v>163.74298000000002</v>
      </c>
      <c r="O53" s="84">
        <f>162463.61/1000</f>
        <v>162.46360999999999</v>
      </c>
      <c r="P53" s="119">
        <f t="shared" si="10"/>
        <v>366.54500000000002</v>
      </c>
      <c r="Q53" s="126">
        <v>150.251</v>
      </c>
      <c r="R53" s="129">
        <v>216.29400000000001</v>
      </c>
      <c r="S53" s="177">
        <f t="shared" si="11"/>
        <v>36.654499999999999</v>
      </c>
    </row>
    <row r="54" spans="1:19">
      <c r="A54" s="1">
        <f t="shared" si="6"/>
        <v>48</v>
      </c>
      <c r="B54" s="79" t="s">
        <v>77</v>
      </c>
      <c r="C54" s="79" t="s">
        <v>92</v>
      </c>
      <c r="D54" s="80">
        <v>21</v>
      </c>
      <c r="E54" s="80" t="s">
        <v>84</v>
      </c>
      <c r="F54" s="116">
        <f>[3]МКД!$H$111</f>
        <v>12</v>
      </c>
      <c r="G54" s="81">
        <f t="shared" si="7"/>
        <v>252.91453000000001</v>
      </c>
      <c r="H54" s="85">
        <f>90697.65/1000</f>
        <v>90.697649999999996</v>
      </c>
      <c r="I54" s="82">
        <f>162216.88/1000</f>
        <v>162.21688</v>
      </c>
      <c r="J54" s="83">
        <f t="shared" si="8"/>
        <v>293.12155999999999</v>
      </c>
      <c r="K54" s="82">
        <f>108265.8/1000</f>
        <v>108.2658</v>
      </c>
      <c r="L54" s="82">
        <f>184855.76/1000</f>
        <v>184.85576</v>
      </c>
      <c r="M54" s="81">
        <f t="shared" si="9"/>
        <v>294.52834000000001</v>
      </c>
      <c r="N54" s="82">
        <f>120311.43/1000</f>
        <v>120.31142999999999</v>
      </c>
      <c r="O54" s="84">
        <f>174216.91/1000</f>
        <v>174.21691000000001</v>
      </c>
      <c r="P54" s="119">
        <f t="shared" si="10"/>
        <v>366.28</v>
      </c>
      <c r="Q54" s="126">
        <v>107.72199999999999</v>
      </c>
      <c r="R54" s="129">
        <v>258.55799999999999</v>
      </c>
      <c r="S54" s="177">
        <f t="shared" si="11"/>
        <v>30.52333333333333</v>
      </c>
    </row>
    <row r="55" spans="1:19">
      <c r="A55" s="1">
        <f t="shared" si="6"/>
        <v>49</v>
      </c>
      <c r="B55" s="79" t="s">
        <v>77</v>
      </c>
      <c r="C55" s="79" t="s">
        <v>19</v>
      </c>
      <c r="D55" s="80">
        <v>16</v>
      </c>
      <c r="E55" s="80"/>
      <c r="F55" s="116">
        <f>[2]МКД!$H$46</f>
        <v>9</v>
      </c>
      <c r="G55" s="81">
        <f t="shared" si="7"/>
        <v>644.91381999999999</v>
      </c>
      <c r="H55" s="85">
        <f>388626.88/1000</f>
        <v>388.62688000000003</v>
      </c>
      <c r="I55" s="82">
        <f>256286.94/1000</f>
        <v>256.28694000000002</v>
      </c>
      <c r="J55" s="83">
        <f t="shared" si="8"/>
        <v>390.77969000000002</v>
      </c>
      <c r="K55" s="82">
        <f>266271.61/1000</f>
        <v>266.27161000000001</v>
      </c>
      <c r="L55" s="82">
        <f>124508.08/1000</f>
        <v>124.50808000000001</v>
      </c>
      <c r="M55" s="81">
        <f t="shared" si="9"/>
        <v>402.16040000000004</v>
      </c>
      <c r="N55" s="82">
        <f>277678.77/1000</f>
        <v>277.67877000000004</v>
      </c>
      <c r="O55" s="84">
        <f>124481.63/1000</f>
        <v>124.48163000000001</v>
      </c>
      <c r="P55" s="119">
        <f t="shared" si="10"/>
        <v>351.56399999999996</v>
      </c>
      <c r="Q55" s="126">
        <v>254.696</v>
      </c>
      <c r="R55" s="129">
        <v>96.867999999999995</v>
      </c>
      <c r="S55" s="177">
        <f t="shared" si="11"/>
        <v>39.062666666666665</v>
      </c>
    </row>
    <row r="56" spans="1:19">
      <c r="A56" s="1">
        <f t="shared" si="6"/>
        <v>50</v>
      </c>
      <c r="B56" s="79" t="s">
        <v>77</v>
      </c>
      <c r="C56" s="79" t="s">
        <v>99</v>
      </c>
      <c r="D56" s="80">
        <v>39</v>
      </c>
      <c r="E56" s="80"/>
      <c r="F56" s="116">
        <f>[3]МКД!$H$152</f>
        <v>12</v>
      </c>
      <c r="G56" s="81">
        <f t="shared" si="7"/>
        <v>271.62461000000002</v>
      </c>
      <c r="H56" s="85">
        <f>105730.47/1000</f>
        <v>105.73047</v>
      </c>
      <c r="I56" s="82">
        <f>165894.14/1000</f>
        <v>165.89414000000002</v>
      </c>
      <c r="J56" s="83">
        <f t="shared" si="8"/>
        <v>313.75357000000002</v>
      </c>
      <c r="K56" s="82">
        <f>139121.38/1000</f>
        <v>139.12138000000002</v>
      </c>
      <c r="L56" s="82">
        <f>174632.19/1000</f>
        <v>174.63219000000001</v>
      </c>
      <c r="M56" s="81">
        <f t="shared" si="9"/>
        <v>315.01761999999997</v>
      </c>
      <c r="N56" s="82">
        <f>148582.52/1000</f>
        <v>148.58251999999999</v>
      </c>
      <c r="O56" s="84">
        <f>166435.1/1000</f>
        <v>166.43510000000001</v>
      </c>
      <c r="P56" s="119">
        <f t="shared" si="10"/>
        <v>336.69500000000005</v>
      </c>
      <c r="Q56" s="126">
        <v>159.83500000000001</v>
      </c>
      <c r="R56" s="129">
        <v>176.86</v>
      </c>
      <c r="S56" s="177">
        <f t="shared" si="11"/>
        <v>28.057916666666671</v>
      </c>
    </row>
    <row r="57" spans="1:19">
      <c r="A57" s="1">
        <f t="shared" si="6"/>
        <v>51</v>
      </c>
      <c r="B57" s="79" t="s">
        <v>77</v>
      </c>
      <c r="C57" s="89" t="s">
        <v>97</v>
      </c>
      <c r="D57" s="80">
        <v>6</v>
      </c>
      <c r="E57" s="80"/>
      <c r="F57" s="116">
        <f>[1]МКД!$H$251</f>
        <v>16</v>
      </c>
      <c r="G57" s="81">
        <f t="shared" si="7"/>
        <v>0</v>
      </c>
      <c r="H57" s="85">
        <v>0</v>
      </c>
      <c r="I57" s="82"/>
      <c r="J57" s="83">
        <f t="shared" si="8"/>
        <v>319.63220000000001</v>
      </c>
      <c r="K57" s="82">
        <f>156002.72/1000</f>
        <v>156.00272000000001</v>
      </c>
      <c r="L57" s="82">
        <f>163629.48/1000</f>
        <v>163.62948</v>
      </c>
      <c r="M57" s="81">
        <f t="shared" si="9"/>
        <v>342.35516999999999</v>
      </c>
      <c r="N57" s="82">
        <f>178510.49/1000</f>
        <v>178.51049</v>
      </c>
      <c r="O57" s="84">
        <f>163844.68/1000</f>
        <v>163.84467999999998</v>
      </c>
      <c r="P57" s="119">
        <f t="shared" si="10"/>
        <v>335.14</v>
      </c>
      <c r="Q57" s="126">
        <v>132.18600000000001</v>
      </c>
      <c r="R57" s="129">
        <v>202.95400000000001</v>
      </c>
      <c r="S57" s="177">
        <f t="shared" si="11"/>
        <v>20.946249999999999</v>
      </c>
    </row>
    <row r="58" spans="1:19">
      <c r="A58" s="1">
        <f t="shared" si="6"/>
        <v>52</v>
      </c>
      <c r="B58" s="79" t="s">
        <v>77</v>
      </c>
      <c r="C58" s="79" t="s">
        <v>19</v>
      </c>
      <c r="D58" s="80">
        <v>43</v>
      </c>
      <c r="E58" s="80" t="s">
        <v>20</v>
      </c>
      <c r="F58" s="116">
        <f>[2]МКД!$H$51</f>
        <v>12</v>
      </c>
      <c r="G58" s="81">
        <f t="shared" si="7"/>
        <v>269.31114000000002</v>
      </c>
      <c r="H58" s="85">
        <f>165796.36/1000</f>
        <v>165.79635999999999</v>
      </c>
      <c r="I58" s="82">
        <f>103514.78/1000</f>
        <v>103.51478</v>
      </c>
      <c r="J58" s="83">
        <f t="shared" si="8"/>
        <v>281.58662000000004</v>
      </c>
      <c r="K58" s="82">
        <f>169783.97/1000</f>
        <v>169.78397000000001</v>
      </c>
      <c r="L58" s="82">
        <f>111802.65/1000</f>
        <v>111.80265</v>
      </c>
      <c r="M58" s="81">
        <f t="shared" si="9"/>
        <v>292.79266000000001</v>
      </c>
      <c r="N58" s="82">
        <f>175226.8/1000</f>
        <v>175.2268</v>
      </c>
      <c r="O58" s="84">
        <f>117565.86/1000</f>
        <v>117.56586</v>
      </c>
      <c r="P58" s="119">
        <f t="shared" si="10"/>
        <v>326.69900000000001</v>
      </c>
      <c r="Q58" s="126">
        <v>182.96600000000001</v>
      </c>
      <c r="R58" s="129">
        <v>143.733</v>
      </c>
      <c r="S58" s="177">
        <f t="shared" si="11"/>
        <v>27.224916666666669</v>
      </c>
    </row>
    <row r="59" spans="1:19">
      <c r="A59" s="1">
        <f t="shared" si="6"/>
        <v>53</v>
      </c>
      <c r="B59" s="79" t="s">
        <v>77</v>
      </c>
      <c r="C59" s="79" t="s">
        <v>55</v>
      </c>
      <c r="D59" s="80">
        <v>8</v>
      </c>
      <c r="E59" s="80" t="s">
        <v>21</v>
      </c>
      <c r="F59" s="116">
        <f>[3]МКД!$H$73</f>
        <v>12</v>
      </c>
      <c r="G59" s="81">
        <f t="shared" si="7"/>
        <v>326.49</v>
      </c>
      <c r="H59" s="85">
        <f>118.81+96.37</f>
        <v>215.18</v>
      </c>
      <c r="I59" s="82">
        <f>2.83+108.48</f>
        <v>111.31</v>
      </c>
      <c r="J59" s="83">
        <f t="shared" si="8"/>
        <v>406.36</v>
      </c>
      <c r="K59" s="82">
        <f>118.81+135.8</f>
        <v>254.61</v>
      </c>
      <c r="L59" s="82">
        <f>2.83+148.92</f>
        <v>151.75</v>
      </c>
      <c r="M59" s="81">
        <f t="shared" si="9"/>
        <v>367.42</v>
      </c>
      <c r="N59" s="82">
        <f>118.81+129.03</f>
        <v>247.84</v>
      </c>
      <c r="O59" s="84">
        <f>2.83+116.75</f>
        <v>119.58</v>
      </c>
      <c r="P59" s="119">
        <f t="shared" si="10"/>
        <v>322.88</v>
      </c>
      <c r="Q59" s="126">
        <f>98.754+126.54</f>
        <v>225.29400000000001</v>
      </c>
      <c r="R59" s="129">
        <f>-17.224+114.81</f>
        <v>97.585999999999999</v>
      </c>
      <c r="S59" s="177">
        <f t="shared" si="11"/>
        <v>26.906666666666666</v>
      </c>
    </row>
    <row r="60" spans="1:19">
      <c r="A60" s="1">
        <f t="shared" si="6"/>
        <v>54</v>
      </c>
      <c r="B60" s="79" t="s">
        <v>77</v>
      </c>
      <c r="C60" s="79" t="s">
        <v>92</v>
      </c>
      <c r="D60" s="80">
        <v>31</v>
      </c>
      <c r="E60" s="80"/>
      <c r="F60" s="116">
        <f>[3]МКД!$H$114</f>
        <v>18</v>
      </c>
      <c r="G60" s="81">
        <f t="shared" si="7"/>
        <v>293.76207999999997</v>
      </c>
      <c r="H60" s="85">
        <f>122746.31/1000</f>
        <v>122.74630999999999</v>
      </c>
      <c r="I60" s="82">
        <f>171015.77/1000</f>
        <v>171.01577</v>
      </c>
      <c r="J60" s="83">
        <f t="shared" si="8"/>
        <v>356.65521000000001</v>
      </c>
      <c r="K60" s="82">
        <f>137442.99/1000</f>
        <v>137.44298999999998</v>
      </c>
      <c r="L60" s="82">
        <f>219212.22/1000</f>
        <v>219.21222</v>
      </c>
      <c r="M60" s="81">
        <f t="shared" si="9"/>
        <v>316.06717000000003</v>
      </c>
      <c r="N60" s="82">
        <f>150190.13/1000</f>
        <v>150.19013000000001</v>
      </c>
      <c r="O60" s="84">
        <f>165877.04/1000</f>
        <v>165.87704000000002</v>
      </c>
      <c r="P60" s="119">
        <f t="shared" si="10"/>
        <v>321.75900000000001</v>
      </c>
      <c r="Q60" s="126">
        <v>146.15100000000001</v>
      </c>
      <c r="R60" s="129">
        <v>175.608</v>
      </c>
      <c r="S60" s="177">
        <f t="shared" si="11"/>
        <v>17.875500000000002</v>
      </c>
    </row>
    <row r="61" spans="1:19">
      <c r="A61" s="1">
        <f t="shared" si="6"/>
        <v>55</v>
      </c>
      <c r="B61" s="79" t="s">
        <v>77</v>
      </c>
      <c r="C61" s="79" t="s">
        <v>19</v>
      </c>
      <c r="D61" s="80">
        <v>50</v>
      </c>
      <c r="E61" s="80"/>
      <c r="F61" s="116">
        <f>[2]МКД!$H$55</f>
        <v>12</v>
      </c>
      <c r="G61" s="81">
        <f t="shared" si="7"/>
        <v>244.35999999999999</v>
      </c>
      <c r="H61" s="85">
        <f>81.99+62.36</f>
        <v>144.35</v>
      </c>
      <c r="I61" s="82">
        <f>52.85+47.16</f>
        <v>100.00999999999999</v>
      </c>
      <c r="J61" s="83">
        <f t="shared" si="8"/>
        <v>298.16999999999996</v>
      </c>
      <c r="K61" s="82">
        <f>81.99+90.34</f>
        <v>172.32999999999998</v>
      </c>
      <c r="L61" s="82">
        <f>54.21+71.63</f>
        <v>125.84</v>
      </c>
      <c r="M61" s="81">
        <f t="shared" si="9"/>
        <v>311.27999999999997</v>
      </c>
      <c r="N61" s="82">
        <f>81.99+97.25</f>
        <v>179.24</v>
      </c>
      <c r="O61" s="84">
        <f>54.21+77.83</f>
        <v>132.04</v>
      </c>
      <c r="P61" s="119">
        <f t="shared" si="10"/>
        <v>307.52599999999995</v>
      </c>
      <c r="Q61" s="126">
        <f>80.095+93.17</f>
        <v>173.26499999999999</v>
      </c>
      <c r="R61" s="129">
        <f>52.311+81.95</f>
        <v>134.261</v>
      </c>
      <c r="S61" s="177">
        <f t="shared" si="11"/>
        <v>25.627166666666664</v>
      </c>
    </row>
    <row r="62" spans="1:19">
      <c r="A62" s="1">
        <f t="shared" si="6"/>
        <v>56</v>
      </c>
      <c r="B62" s="79" t="s">
        <v>77</v>
      </c>
      <c r="C62" s="79" t="s">
        <v>38</v>
      </c>
      <c r="D62" s="80">
        <v>28</v>
      </c>
      <c r="E62" s="80" t="s">
        <v>20</v>
      </c>
      <c r="F62" s="116">
        <f>[3]МКД!$H$102</f>
        <v>12</v>
      </c>
      <c r="G62" s="81">
        <f t="shared" si="7"/>
        <v>183.51208</v>
      </c>
      <c r="H62" s="85">
        <f>172567.19/1000</f>
        <v>172.56719000000001</v>
      </c>
      <c r="I62" s="82">
        <f>10944.89/1000</f>
        <v>10.944889999999999</v>
      </c>
      <c r="J62" s="83">
        <f t="shared" si="8"/>
        <v>251.92314000000002</v>
      </c>
      <c r="K62" s="82">
        <f>228438.39/1000</f>
        <v>228.43839000000003</v>
      </c>
      <c r="L62" s="82">
        <f>23484.75/1000</f>
        <v>23.484749999999998</v>
      </c>
      <c r="M62" s="81">
        <f t="shared" si="9"/>
        <v>271.97003000000001</v>
      </c>
      <c r="N62" s="82">
        <f>245254.19/1000</f>
        <v>245.25418999999999</v>
      </c>
      <c r="O62" s="84">
        <f>26715.84/1000</f>
        <v>26.71584</v>
      </c>
      <c r="P62" s="119">
        <f t="shared" si="10"/>
        <v>301.548</v>
      </c>
      <c r="Q62" s="126">
        <v>199.167</v>
      </c>
      <c r="R62" s="129">
        <v>102.381</v>
      </c>
      <c r="S62" s="177">
        <f t="shared" si="11"/>
        <v>25.129000000000001</v>
      </c>
    </row>
    <row r="63" spans="1:19">
      <c r="A63" s="1">
        <f t="shared" si="6"/>
        <v>57</v>
      </c>
      <c r="B63" s="79" t="s">
        <v>77</v>
      </c>
      <c r="C63" s="79" t="s">
        <v>55</v>
      </c>
      <c r="D63" s="80">
        <v>6</v>
      </c>
      <c r="E63" s="80"/>
      <c r="F63" s="116">
        <f>[3]МКД!$H$72</f>
        <v>12</v>
      </c>
      <c r="G63" s="81">
        <f t="shared" si="7"/>
        <v>302.64999999999998</v>
      </c>
      <c r="H63" s="85">
        <f>91.34+75.11</f>
        <v>166.45</v>
      </c>
      <c r="I63" s="82">
        <f>74.84+61.36</f>
        <v>136.19999999999999</v>
      </c>
      <c r="J63" s="83">
        <f t="shared" si="8"/>
        <v>341.39</v>
      </c>
      <c r="K63" s="82">
        <f>91.34+90.28</f>
        <v>181.62</v>
      </c>
      <c r="L63" s="82">
        <f>74.84+84.93</f>
        <v>159.77000000000001</v>
      </c>
      <c r="M63" s="81">
        <f t="shared" si="9"/>
        <v>329.49</v>
      </c>
      <c r="N63" s="82">
        <f>91.34+81.65</f>
        <v>172.99</v>
      </c>
      <c r="O63" s="84">
        <f>74.84+81.66</f>
        <v>156.5</v>
      </c>
      <c r="P63" s="119">
        <f t="shared" si="10"/>
        <v>297.89400000000001</v>
      </c>
      <c r="Q63" s="126">
        <f>82.674+75.39</f>
        <v>158.06400000000002</v>
      </c>
      <c r="R63" s="129">
        <f>66.18+73.65</f>
        <v>139.83000000000001</v>
      </c>
      <c r="S63" s="177">
        <f t="shared" si="11"/>
        <v>24.8245</v>
      </c>
    </row>
    <row r="64" spans="1:19" s="175" customFormat="1">
      <c r="A64" s="1">
        <f t="shared" si="6"/>
        <v>58</v>
      </c>
      <c r="B64" s="69" t="s">
        <v>77</v>
      </c>
      <c r="C64" s="79" t="s">
        <v>92</v>
      </c>
      <c r="D64" s="80">
        <v>37</v>
      </c>
      <c r="E64" s="80" t="s">
        <v>20</v>
      </c>
      <c r="F64" s="116">
        <f>[3]МКД!$H$118</f>
        <v>21</v>
      </c>
      <c r="G64" s="81">
        <f t="shared" si="7"/>
        <v>353.48886999999996</v>
      </c>
      <c r="H64" s="185">
        <f>114066.9/1000</f>
        <v>114.06689999999999</v>
      </c>
      <c r="I64" s="183">
        <f>239421.97/1000</f>
        <v>239.42196999999999</v>
      </c>
      <c r="J64" s="83">
        <f t="shared" si="8"/>
        <v>288.43196</v>
      </c>
      <c r="K64" s="86">
        <f>77896.53/1000</f>
        <v>77.896529999999998</v>
      </c>
      <c r="L64" s="183">
        <f>210535.43/1000</f>
        <v>210.53542999999999</v>
      </c>
      <c r="M64" s="81">
        <f t="shared" si="9"/>
        <v>283.68925999999999</v>
      </c>
      <c r="N64" s="183">
        <f>77896.53/1000</f>
        <v>77.896529999999998</v>
      </c>
      <c r="O64" s="183">
        <f>205792.73/1000</f>
        <v>205.79273000000001</v>
      </c>
      <c r="P64" s="119">
        <f t="shared" si="10"/>
        <v>293.17399999999998</v>
      </c>
      <c r="Q64" s="191">
        <v>82.638999999999996</v>
      </c>
      <c r="R64" s="193">
        <v>210.535</v>
      </c>
      <c r="S64" s="177">
        <f t="shared" si="11"/>
        <v>13.960666666666665</v>
      </c>
    </row>
    <row r="65" spans="1:19">
      <c r="A65" s="1">
        <f t="shared" si="6"/>
        <v>59</v>
      </c>
      <c r="B65" s="79" t="s">
        <v>77</v>
      </c>
      <c r="C65" s="79" t="s">
        <v>24</v>
      </c>
      <c r="D65" s="80">
        <v>8</v>
      </c>
      <c r="E65" s="80"/>
      <c r="F65" s="116">
        <f>[2]МКД!$H$28</f>
        <v>12</v>
      </c>
      <c r="G65" s="81">
        <f t="shared" si="7"/>
        <v>256.71713</v>
      </c>
      <c r="H65" s="85">
        <f>111767/1000</f>
        <v>111.767</v>
      </c>
      <c r="I65" s="82">
        <f>144950.13/1000</f>
        <v>144.95013</v>
      </c>
      <c r="J65" s="83">
        <f t="shared" si="8"/>
        <v>268.12263000000002</v>
      </c>
      <c r="K65" s="82">
        <f>112216.2/1000</f>
        <v>112.2162</v>
      </c>
      <c r="L65" s="82">
        <f>155906.43/1000</f>
        <v>155.90643</v>
      </c>
      <c r="M65" s="81">
        <f t="shared" si="9"/>
        <v>259.79480999999998</v>
      </c>
      <c r="N65" s="82">
        <f>114804.17/1000</f>
        <v>114.80417</v>
      </c>
      <c r="O65" s="84">
        <f>144990.64/1000</f>
        <v>144.99064000000001</v>
      </c>
      <c r="P65" s="119">
        <f t="shared" si="10"/>
        <v>279.10599999999999</v>
      </c>
      <c r="Q65" s="126">
        <v>84.257000000000005</v>
      </c>
      <c r="R65" s="129">
        <v>194.84899999999999</v>
      </c>
      <c r="S65" s="177">
        <f t="shared" si="11"/>
        <v>23.258833333333332</v>
      </c>
    </row>
    <row r="66" spans="1:19" s="175" customFormat="1">
      <c r="A66" s="1">
        <f t="shared" si="6"/>
        <v>60</v>
      </c>
      <c r="B66" s="69" t="s">
        <v>77</v>
      </c>
      <c r="C66" s="79" t="s">
        <v>92</v>
      </c>
      <c r="D66" s="80">
        <v>10</v>
      </c>
      <c r="E66" s="80"/>
      <c r="F66" s="116">
        <f>[3]МКД!$H$106</f>
        <v>12</v>
      </c>
      <c r="G66" s="81">
        <f t="shared" si="7"/>
        <v>215.52756999999997</v>
      </c>
      <c r="H66" s="185">
        <f>97852.54/1000</f>
        <v>97.852539999999991</v>
      </c>
      <c r="I66" s="183">
        <f>117675.03/1000</f>
        <v>117.67502999999999</v>
      </c>
      <c r="J66" s="83">
        <f t="shared" si="8"/>
        <v>245.70513</v>
      </c>
      <c r="K66" s="183">
        <f>111929.35/1000</f>
        <v>111.92935</v>
      </c>
      <c r="L66" s="183">
        <f>133775.78/1000</f>
        <v>133.77578</v>
      </c>
      <c r="M66" s="81">
        <f t="shared" si="9"/>
        <v>235.17068</v>
      </c>
      <c r="N66" s="183">
        <f>119205.53/1000</f>
        <v>119.20553</v>
      </c>
      <c r="O66" s="183">
        <f>115965.15/1000</f>
        <v>115.96514999999999</v>
      </c>
      <c r="P66" s="119">
        <f t="shared" si="10"/>
        <v>273.83100000000002</v>
      </c>
      <c r="Q66" s="191">
        <v>113.05800000000001</v>
      </c>
      <c r="R66" s="193">
        <v>160.773</v>
      </c>
      <c r="S66" s="177">
        <f t="shared" si="11"/>
        <v>22.81925</v>
      </c>
    </row>
    <row r="67" spans="1:19">
      <c r="A67" s="1">
        <f t="shared" si="6"/>
        <v>61</v>
      </c>
      <c r="B67" s="79" t="s">
        <v>77</v>
      </c>
      <c r="C67" s="79" t="s">
        <v>38</v>
      </c>
      <c r="D67" s="80">
        <v>10</v>
      </c>
      <c r="E67" s="80"/>
      <c r="F67" s="116">
        <f>[3]МКД!$H$96</f>
        <v>8</v>
      </c>
      <c r="G67" s="81">
        <f t="shared" si="7"/>
        <v>213.82518999999999</v>
      </c>
      <c r="H67" s="85">
        <f>79971.68/1000</f>
        <v>79.971679999999992</v>
      </c>
      <c r="I67" s="82">
        <f>133853.51/1000</f>
        <v>133.85351</v>
      </c>
      <c r="J67" s="83">
        <f t="shared" si="8"/>
        <v>222.46992</v>
      </c>
      <c r="K67" s="82">
        <f>98718.39/1000</f>
        <v>98.718389999999999</v>
      </c>
      <c r="L67" s="82">
        <f>123751.53/1000</f>
        <v>123.75153</v>
      </c>
      <c r="M67" s="81">
        <f t="shared" si="9"/>
        <v>230.61500000000001</v>
      </c>
      <c r="N67" s="82">
        <f>112059.31/1000</f>
        <v>112.05931</v>
      </c>
      <c r="O67" s="84">
        <f>118555.69/1000</f>
        <v>118.55569</v>
      </c>
      <c r="P67" s="119">
        <f t="shared" si="10"/>
        <v>267.85300000000001</v>
      </c>
      <c r="Q67" s="126">
        <v>121.83</v>
      </c>
      <c r="R67" s="129">
        <v>146.023</v>
      </c>
      <c r="S67" s="177">
        <f t="shared" si="11"/>
        <v>33.481625000000001</v>
      </c>
    </row>
    <row r="68" spans="1:19">
      <c r="A68" s="1">
        <f t="shared" si="6"/>
        <v>62</v>
      </c>
      <c r="B68" s="79" t="s">
        <v>77</v>
      </c>
      <c r="C68" s="79" t="s">
        <v>87</v>
      </c>
      <c r="D68" s="80">
        <v>14</v>
      </c>
      <c r="E68" s="80"/>
      <c r="F68" s="116">
        <f>[1]МКД!$H$276</f>
        <v>16</v>
      </c>
      <c r="G68" s="81">
        <f t="shared" si="7"/>
        <v>269.29043999999999</v>
      </c>
      <c r="H68" s="85">
        <f>130687.82/1000</f>
        <v>130.68782000000002</v>
      </c>
      <c r="I68" s="82">
        <f>138602.62/1000</f>
        <v>138.60262</v>
      </c>
      <c r="J68" s="83">
        <f t="shared" si="8"/>
        <v>337.03121999999996</v>
      </c>
      <c r="K68" s="82">
        <f>170629.04/1000</f>
        <v>170.62904</v>
      </c>
      <c r="L68" s="82">
        <f>166402.18/1000</f>
        <v>166.40217999999999</v>
      </c>
      <c r="M68" s="81">
        <f t="shared" si="9"/>
        <v>274.45571000000001</v>
      </c>
      <c r="N68" s="82">
        <f>160461.06/1000</f>
        <v>160.46106</v>
      </c>
      <c r="O68" s="84">
        <f>113994.65/1000</f>
        <v>113.99464999999999</v>
      </c>
      <c r="P68" s="119">
        <f t="shared" si="10"/>
        <v>260.99900000000002</v>
      </c>
      <c r="Q68" s="126">
        <v>65.929000000000002</v>
      </c>
      <c r="R68" s="129">
        <v>195.07</v>
      </c>
      <c r="S68" s="177">
        <f t="shared" si="11"/>
        <v>16.312437500000001</v>
      </c>
    </row>
    <row r="69" spans="1:19">
      <c r="A69" s="1">
        <f t="shared" si="6"/>
        <v>63</v>
      </c>
      <c r="B69" s="79" t="s">
        <v>77</v>
      </c>
      <c r="C69" s="79" t="s">
        <v>90</v>
      </c>
      <c r="D69" s="80">
        <v>12</v>
      </c>
      <c r="E69" s="80"/>
      <c r="F69" s="116">
        <f>[2]МКД!$H$68</f>
        <v>12</v>
      </c>
      <c r="G69" s="81">
        <f t="shared" si="7"/>
        <v>285.13848999999999</v>
      </c>
      <c r="H69" s="85">
        <f>139514.21/1000</f>
        <v>139.51420999999999</v>
      </c>
      <c r="I69" s="82">
        <f>145624.28/1000</f>
        <v>145.62428</v>
      </c>
      <c r="J69" s="83">
        <f t="shared" si="8"/>
        <v>268.91469000000001</v>
      </c>
      <c r="K69" s="82">
        <f>132987.52/1000</f>
        <v>132.98751999999999</v>
      </c>
      <c r="L69" s="82">
        <f>135927.17/1000</f>
        <v>135.92717000000002</v>
      </c>
      <c r="M69" s="81">
        <f t="shared" si="9"/>
        <v>262.52361000000002</v>
      </c>
      <c r="N69" s="82">
        <f>144131.29/1000</f>
        <v>144.13129000000001</v>
      </c>
      <c r="O69" s="84">
        <f>118392.32/1000</f>
        <v>118.39232000000001</v>
      </c>
      <c r="P69" s="119">
        <f t="shared" si="10"/>
        <v>260.274</v>
      </c>
      <c r="Q69" s="126">
        <v>89.591999999999999</v>
      </c>
      <c r="R69" s="129">
        <v>170.68199999999999</v>
      </c>
      <c r="S69" s="177">
        <f t="shared" si="11"/>
        <v>21.689499999999999</v>
      </c>
    </row>
    <row r="70" spans="1:19">
      <c r="A70" s="1">
        <f t="shared" si="6"/>
        <v>64</v>
      </c>
      <c r="B70" s="79" t="s">
        <v>77</v>
      </c>
      <c r="C70" s="79" t="s">
        <v>91</v>
      </c>
      <c r="D70" s="80">
        <v>9</v>
      </c>
      <c r="E70" s="80"/>
      <c r="F70" s="116">
        <f>[3]МКД!$H$103</f>
        <v>4</v>
      </c>
      <c r="G70" s="81">
        <f t="shared" si="7"/>
        <v>280.94113000000004</v>
      </c>
      <c r="H70" s="85">
        <f>93921.21/1000</f>
        <v>93.921210000000002</v>
      </c>
      <c r="I70" s="82">
        <f>187019.92/1000</f>
        <v>187.01992000000001</v>
      </c>
      <c r="J70" s="83">
        <f t="shared" si="8"/>
        <v>257.50412</v>
      </c>
      <c r="K70" s="82">
        <f>63391.1/1000</f>
        <v>63.391100000000002</v>
      </c>
      <c r="L70" s="82">
        <f>194113.02/1000</f>
        <v>194.11301999999998</v>
      </c>
      <c r="M70" s="81">
        <f t="shared" si="9"/>
        <v>243.68729999999999</v>
      </c>
      <c r="N70" s="82">
        <f>63446.55/1000</f>
        <v>63.446550000000002</v>
      </c>
      <c r="O70" s="84">
        <f>180240.75/1000</f>
        <v>180.24074999999999</v>
      </c>
      <c r="P70" s="119">
        <f t="shared" si="10"/>
        <v>251.72199999999998</v>
      </c>
      <c r="Q70" s="126">
        <v>66.146000000000001</v>
      </c>
      <c r="R70" s="129">
        <v>185.57599999999999</v>
      </c>
      <c r="S70" s="177">
        <f t="shared" si="11"/>
        <v>62.930499999999995</v>
      </c>
    </row>
    <row r="71" spans="1:19" s="175" customFormat="1">
      <c r="A71" s="1">
        <f t="shared" si="6"/>
        <v>65</v>
      </c>
      <c r="B71" s="69" t="s">
        <v>77</v>
      </c>
      <c r="C71" s="79" t="s">
        <v>100</v>
      </c>
      <c r="D71" s="80">
        <v>5</v>
      </c>
      <c r="E71" s="80" t="s">
        <v>20</v>
      </c>
      <c r="F71" s="116">
        <f>[3]МКД!$H$165</f>
        <v>8</v>
      </c>
      <c r="G71" s="81">
        <f t="shared" ref="G71:G102" si="12">H71+I71</f>
        <v>160.28200999999999</v>
      </c>
      <c r="H71" s="183">
        <f>67527.42/1000</f>
        <v>67.527419999999992</v>
      </c>
      <c r="I71" s="183">
        <f>92754.59/1000</f>
        <v>92.754589999999993</v>
      </c>
      <c r="J71" s="83">
        <f t="shared" ref="J71:J102" si="13">K71+L71</f>
        <v>204.97837999999999</v>
      </c>
      <c r="K71" s="183">
        <f>86035.93/1000</f>
        <v>86.035929999999993</v>
      </c>
      <c r="L71" s="183">
        <f>118942.45/1000</f>
        <v>118.94244999999999</v>
      </c>
      <c r="M71" s="81">
        <f t="shared" ref="M71:M102" si="14">N71+O71</f>
        <v>201.67658</v>
      </c>
      <c r="N71" s="183">
        <f>89494.66/1000</f>
        <v>89.49466000000001</v>
      </c>
      <c r="O71" s="183">
        <f>112181.92/1000</f>
        <v>112.18192000000001</v>
      </c>
      <c r="P71" s="119">
        <f t="shared" ref="P71:P102" si="15">Q71+R71</f>
        <v>247.94900000000001</v>
      </c>
      <c r="Q71" s="191">
        <v>76.594999999999999</v>
      </c>
      <c r="R71" s="193">
        <v>171.35400000000001</v>
      </c>
      <c r="S71" s="177">
        <f t="shared" ref="S71:S102" si="16">P71/F71</f>
        <v>30.993625000000002</v>
      </c>
    </row>
    <row r="72" spans="1:19">
      <c r="A72" s="1">
        <f t="shared" si="6"/>
        <v>66</v>
      </c>
      <c r="B72" s="79" t="s">
        <v>77</v>
      </c>
      <c r="C72" s="79" t="s">
        <v>95</v>
      </c>
      <c r="D72" s="80">
        <v>8</v>
      </c>
      <c r="E72" s="80"/>
      <c r="F72" s="116">
        <f>[3]МКД!$H$133</f>
        <v>8</v>
      </c>
      <c r="G72" s="81">
        <f t="shared" si="12"/>
        <v>138.77190000000002</v>
      </c>
      <c r="H72" s="85">
        <f>126379.82/1000</f>
        <v>126.37982000000001</v>
      </c>
      <c r="I72" s="82">
        <f>12392.08/1000</f>
        <v>12.39208</v>
      </c>
      <c r="J72" s="83">
        <f t="shared" si="13"/>
        <v>179.12054000000001</v>
      </c>
      <c r="K72" s="82">
        <f>164920.1/1000</f>
        <v>164.92010000000002</v>
      </c>
      <c r="L72" s="82">
        <f>14200.44/1000</f>
        <v>14.20044</v>
      </c>
      <c r="M72" s="81">
        <f t="shared" si="14"/>
        <v>187.62574999999998</v>
      </c>
      <c r="N72" s="82">
        <f>172458.88/1000</f>
        <v>172.45887999999999</v>
      </c>
      <c r="O72" s="84">
        <f>15166.87/1000</f>
        <v>15.166870000000001</v>
      </c>
      <c r="P72" s="119">
        <f t="shared" si="15"/>
        <v>243.464</v>
      </c>
      <c r="Q72" s="126">
        <v>194.86799999999999</v>
      </c>
      <c r="R72" s="129">
        <v>48.595999999999997</v>
      </c>
      <c r="S72" s="177">
        <f t="shared" si="16"/>
        <v>30.433</v>
      </c>
    </row>
    <row r="73" spans="1:19">
      <c r="A73" s="1">
        <f t="shared" si="6"/>
        <v>67</v>
      </c>
      <c r="B73" s="79" t="s">
        <v>77</v>
      </c>
      <c r="C73" s="79" t="s">
        <v>87</v>
      </c>
      <c r="D73" s="80">
        <v>4</v>
      </c>
      <c r="E73" s="80"/>
      <c r="F73" s="116">
        <f>[2]МКД!$H$38</f>
        <v>12</v>
      </c>
      <c r="G73" s="81">
        <f t="shared" si="12"/>
        <v>213.7647</v>
      </c>
      <c r="H73" s="85">
        <f>206122.53/1000</f>
        <v>206.12253000000001</v>
      </c>
      <c r="I73" s="82">
        <f>7642.17/1000</f>
        <v>7.6421700000000001</v>
      </c>
      <c r="J73" s="83">
        <f t="shared" si="13"/>
        <v>206.88945000000001</v>
      </c>
      <c r="K73" s="82">
        <f>198516.04/1000</f>
        <v>198.51604</v>
      </c>
      <c r="L73" s="82">
        <f>8373.41/1000</f>
        <v>8.3734099999999998</v>
      </c>
      <c r="M73" s="81">
        <f t="shared" si="14"/>
        <v>224.55490999999998</v>
      </c>
      <c r="N73" s="82">
        <f>215766.52/1000</f>
        <v>215.76651999999999</v>
      </c>
      <c r="O73" s="84">
        <f>8788.39/1000</f>
        <v>8.7883899999999997</v>
      </c>
      <c r="P73" s="119">
        <f t="shared" si="15"/>
        <v>241.46</v>
      </c>
      <c r="Q73" s="126">
        <v>191.577</v>
      </c>
      <c r="R73" s="129">
        <v>49.883000000000003</v>
      </c>
      <c r="S73" s="177">
        <f t="shared" si="16"/>
        <v>20.121666666666666</v>
      </c>
    </row>
    <row r="74" spans="1:19">
      <c r="A74" s="1">
        <f t="shared" si="6"/>
        <v>68</v>
      </c>
      <c r="B74" s="79" t="s">
        <v>77</v>
      </c>
      <c r="C74" s="79" t="s">
        <v>83</v>
      </c>
      <c r="D74" s="80">
        <v>12</v>
      </c>
      <c r="E74" s="80"/>
      <c r="F74" s="116">
        <f>[2]МКД!$H$14</f>
        <v>16</v>
      </c>
      <c r="G74" s="81">
        <f t="shared" si="12"/>
        <v>183.45233999999999</v>
      </c>
      <c r="H74" s="82">
        <f>74853.19/1000</f>
        <v>74.853189999999998</v>
      </c>
      <c r="I74" s="82">
        <f>108599.15/1000</f>
        <v>108.59914999999999</v>
      </c>
      <c r="J74" s="83">
        <f t="shared" si="13"/>
        <v>296.95632000000001</v>
      </c>
      <c r="K74" s="82">
        <f>143918.49/1000</f>
        <v>143.91848999999999</v>
      </c>
      <c r="L74" s="82">
        <f>153037.83/1000</f>
        <v>153.03782999999999</v>
      </c>
      <c r="M74" s="81">
        <f t="shared" si="14"/>
        <v>307.22379000000001</v>
      </c>
      <c r="N74" s="82">
        <f>162218.28/1000</f>
        <v>162.21827999999999</v>
      </c>
      <c r="O74" s="84">
        <f>145005.51/1000</f>
        <v>145.00551000000002</v>
      </c>
      <c r="P74" s="119">
        <f t="shared" si="15"/>
        <v>241.21099999999998</v>
      </c>
      <c r="Q74" s="126">
        <v>97.832999999999998</v>
      </c>
      <c r="R74" s="129">
        <v>143.37799999999999</v>
      </c>
      <c r="S74" s="177">
        <f t="shared" si="16"/>
        <v>15.075687499999999</v>
      </c>
    </row>
    <row r="75" spans="1:19">
      <c r="A75" s="1">
        <f t="shared" si="6"/>
        <v>69</v>
      </c>
      <c r="B75" s="79" t="s">
        <v>77</v>
      </c>
      <c r="C75" s="79" t="s">
        <v>19</v>
      </c>
      <c r="D75" s="80">
        <v>32</v>
      </c>
      <c r="E75" s="80"/>
      <c r="F75" s="116">
        <f>[1]МКД!$H$239</f>
        <v>12</v>
      </c>
      <c r="G75" s="81">
        <f t="shared" si="12"/>
        <v>0</v>
      </c>
      <c r="H75" s="85">
        <v>0</v>
      </c>
      <c r="I75" s="82"/>
      <c r="J75" s="83">
        <f t="shared" si="13"/>
        <v>263.76994999999999</v>
      </c>
      <c r="K75" s="82">
        <f>100067.95/1000</f>
        <v>100.06795</v>
      </c>
      <c r="L75" s="82">
        <f>163702/1000</f>
        <v>163.702</v>
      </c>
      <c r="M75" s="81">
        <f t="shared" si="14"/>
        <v>264.68022999999999</v>
      </c>
      <c r="N75" s="82">
        <f>118004.2/1000</f>
        <v>118.0042</v>
      </c>
      <c r="O75" s="84">
        <f>146676.03/1000</f>
        <v>146.67603</v>
      </c>
      <c r="P75" s="119">
        <f t="shared" si="15"/>
        <v>238.822</v>
      </c>
      <c r="Q75" s="126">
        <v>107.64100000000001</v>
      </c>
      <c r="R75" s="129">
        <v>131.18100000000001</v>
      </c>
      <c r="S75" s="177">
        <f t="shared" si="16"/>
        <v>19.901833333333332</v>
      </c>
    </row>
    <row r="76" spans="1:19">
      <c r="A76" s="1">
        <f t="shared" si="6"/>
        <v>70</v>
      </c>
      <c r="B76" s="79" t="s">
        <v>77</v>
      </c>
      <c r="C76" s="79" t="s">
        <v>70</v>
      </c>
      <c r="D76" s="80">
        <v>5</v>
      </c>
      <c r="E76" s="80" t="s">
        <v>20</v>
      </c>
      <c r="F76" s="116">
        <f>[2]МКД!$H$25</f>
        <v>12</v>
      </c>
      <c r="G76" s="81">
        <f t="shared" si="12"/>
        <v>188.54000000000002</v>
      </c>
      <c r="H76" s="85">
        <f>67.15+68.37</f>
        <v>135.52000000000001</v>
      </c>
      <c r="I76" s="82">
        <f>8.72+44.3</f>
        <v>53.019999999999996</v>
      </c>
      <c r="J76" s="83">
        <f t="shared" si="13"/>
        <v>241.70000000000002</v>
      </c>
      <c r="K76" s="82">
        <f>67.15+82.08</f>
        <v>149.23000000000002</v>
      </c>
      <c r="L76" s="82">
        <f>8.62+83.85</f>
        <v>92.47</v>
      </c>
      <c r="M76" s="81">
        <f t="shared" si="14"/>
        <v>241.04000000000002</v>
      </c>
      <c r="N76" s="82">
        <f>67.15+84.85</f>
        <v>152</v>
      </c>
      <c r="O76" s="84">
        <f>8.62+80.42</f>
        <v>89.04</v>
      </c>
      <c r="P76" s="119">
        <f t="shared" si="15"/>
        <v>237.30800000000002</v>
      </c>
      <c r="Q76" s="126">
        <f>75.547+84.7</f>
        <v>160.24700000000001</v>
      </c>
      <c r="R76" s="129">
        <f>17.231+59.83</f>
        <v>77.061000000000007</v>
      </c>
      <c r="S76" s="177">
        <f t="shared" si="16"/>
        <v>19.77566666666667</v>
      </c>
    </row>
    <row r="77" spans="1:19">
      <c r="A77" s="1">
        <f t="shared" si="6"/>
        <v>71</v>
      </c>
      <c r="B77" s="79" t="s">
        <v>77</v>
      </c>
      <c r="C77" s="79" t="s">
        <v>99</v>
      </c>
      <c r="D77" s="80">
        <v>45</v>
      </c>
      <c r="E77" s="80" t="s">
        <v>20</v>
      </c>
      <c r="F77" s="116">
        <f>[3]МКД!$H$158</f>
        <v>12</v>
      </c>
      <c r="G77" s="81">
        <f t="shared" si="12"/>
        <v>274.26657</v>
      </c>
      <c r="H77" s="85">
        <f>104993.43/1000</f>
        <v>104.99342999999999</v>
      </c>
      <c r="I77" s="82">
        <f>169273.14/1000</f>
        <v>169.27314000000001</v>
      </c>
      <c r="J77" s="83">
        <f t="shared" si="13"/>
        <v>218.14963999999998</v>
      </c>
      <c r="K77" s="82">
        <f>100518.03/1000</f>
        <v>100.51803</v>
      </c>
      <c r="L77" s="82">
        <f>117631.61/1000</f>
        <v>117.63160999999999</v>
      </c>
      <c r="M77" s="81">
        <f t="shared" si="14"/>
        <v>206.34949999999998</v>
      </c>
      <c r="N77" s="82">
        <f>112414.27/1000</f>
        <v>112.41427</v>
      </c>
      <c r="O77" s="84">
        <f>93935.23/1000</f>
        <v>93.93522999999999</v>
      </c>
      <c r="P77" s="119">
        <f t="shared" si="15"/>
        <v>232.17399999999998</v>
      </c>
      <c r="Q77" s="126">
        <v>104.6</v>
      </c>
      <c r="R77" s="129">
        <v>127.574</v>
      </c>
      <c r="S77" s="177">
        <f t="shared" si="16"/>
        <v>19.34783333333333</v>
      </c>
    </row>
    <row r="78" spans="1:19">
      <c r="A78" s="1">
        <f t="shared" si="6"/>
        <v>72</v>
      </c>
      <c r="B78" s="79" t="s">
        <v>77</v>
      </c>
      <c r="C78" s="79" t="s">
        <v>19</v>
      </c>
      <c r="D78" s="80">
        <v>45</v>
      </c>
      <c r="E78" s="80" t="s">
        <v>20</v>
      </c>
      <c r="F78" s="116">
        <f>[2]МКД!$H$52</f>
        <v>12</v>
      </c>
      <c r="G78" s="81">
        <f t="shared" si="12"/>
        <v>184.81009999999998</v>
      </c>
      <c r="H78" s="85">
        <f>68680.01/1000</f>
        <v>68.680009999999996</v>
      </c>
      <c r="I78" s="82">
        <f>116130.09/1000</f>
        <v>116.13009</v>
      </c>
      <c r="J78" s="83">
        <f t="shared" si="13"/>
        <v>226.65393</v>
      </c>
      <c r="K78" s="82">
        <f>92200.35/1000</f>
        <v>92.20035</v>
      </c>
      <c r="L78" s="82">
        <f>134453.58/1000</f>
        <v>134.45357999999999</v>
      </c>
      <c r="M78" s="81">
        <f t="shared" si="14"/>
        <v>244.08479999999997</v>
      </c>
      <c r="N78" s="82">
        <f>97722.62/1000</f>
        <v>97.722619999999992</v>
      </c>
      <c r="O78" s="84">
        <f>146362.18/1000</f>
        <v>146.36218</v>
      </c>
      <c r="P78" s="119">
        <f t="shared" si="15"/>
        <v>212.47300000000001</v>
      </c>
      <c r="Q78" s="126">
        <v>61.145000000000003</v>
      </c>
      <c r="R78" s="129">
        <v>151.328</v>
      </c>
      <c r="S78" s="177">
        <f t="shared" si="16"/>
        <v>17.706083333333336</v>
      </c>
    </row>
    <row r="79" spans="1:19">
      <c r="A79" s="1">
        <f t="shared" si="6"/>
        <v>73</v>
      </c>
      <c r="B79" s="79" t="s">
        <v>77</v>
      </c>
      <c r="C79" s="79" t="s">
        <v>83</v>
      </c>
      <c r="D79" s="80">
        <v>14</v>
      </c>
      <c r="E79" s="80"/>
      <c r="F79" s="116">
        <f>[2]МКД!$H$15</f>
        <v>24</v>
      </c>
      <c r="G79" s="81">
        <f t="shared" si="12"/>
        <v>419.27566999999999</v>
      </c>
      <c r="H79" s="82">
        <f>197069.11/1000</f>
        <v>197.06910999999999</v>
      </c>
      <c r="I79" s="82">
        <f>222206.56/1000</f>
        <v>222.20656</v>
      </c>
      <c r="J79" s="83">
        <f t="shared" si="13"/>
        <v>314.44106999999997</v>
      </c>
      <c r="K79" s="82">
        <f>179580.64/1000</f>
        <v>179.58064000000002</v>
      </c>
      <c r="L79" s="82">
        <f>134860.43/1000</f>
        <v>134.86042999999998</v>
      </c>
      <c r="M79" s="81">
        <f t="shared" si="14"/>
        <v>278.39846999999997</v>
      </c>
      <c r="N79" s="82">
        <f>171331.33/1000</f>
        <v>171.33132999999998</v>
      </c>
      <c r="O79" s="84">
        <f>107067.14/1000</f>
        <v>107.06713999999999</v>
      </c>
      <c r="P79" s="119">
        <f t="shared" si="15"/>
        <v>210.667</v>
      </c>
      <c r="Q79" s="126">
        <v>114.893</v>
      </c>
      <c r="R79" s="129">
        <v>95.774000000000001</v>
      </c>
      <c r="S79" s="177">
        <f t="shared" si="16"/>
        <v>8.7777916666666673</v>
      </c>
    </row>
    <row r="80" spans="1:19">
      <c r="A80" s="1">
        <f t="shared" si="6"/>
        <v>74</v>
      </c>
      <c r="B80" s="79" t="s">
        <v>77</v>
      </c>
      <c r="C80" s="79" t="s">
        <v>38</v>
      </c>
      <c r="D80" s="80">
        <v>26</v>
      </c>
      <c r="E80" s="80"/>
      <c r="F80" s="116">
        <f>[3]МКД!$H$100</f>
        <v>12</v>
      </c>
      <c r="G80" s="81">
        <f t="shared" si="12"/>
        <v>134.16582</v>
      </c>
      <c r="H80" s="85">
        <f>116102.25/1000</f>
        <v>116.10225</v>
      </c>
      <c r="I80" s="82">
        <f>18063.57/1000</f>
        <v>18.063569999999999</v>
      </c>
      <c r="J80" s="83">
        <f t="shared" si="13"/>
        <v>177.14823999999999</v>
      </c>
      <c r="K80" s="82">
        <f>149468.21/1000</f>
        <v>149.46821</v>
      </c>
      <c r="L80" s="82">
        <f>27680.03/1000</f>
        <v>27.680029999999999</v>
      </c>
      <c r="M80" s="81">
        <f t="shared" si="14"/>
        <v>182.79556000000002</v>
      </c>
      <c r="N80" s="82">
        <f>156132.66/1000</f>
        <v>156.13266000000002</v>
      </c>
      <c r="O80" s="84">
        <f>26662.9/1000</f>
        <v>26.6629</v>
      </c>
      <c r="P80" s="119">
        <f t="shared" si="15"/>
        <v>210.489</v>
      </c>
      <c r="Q80" s="126">
        <v>104.809</v>
      </c>
      <c r="R80" s="129">
        <v>105.68</v>
      </c>
      <c r="S80" s="177">
        <f t="shared" si="16"/>
        <v>17.540749999999999</v>
      </c>
    </row>
    <row r="81" spans="1:19" s="175" customFormat="1">
      <c r="A81" s="1">
        <f t="shared" si="6"/>
        <v>75</v>
      </c>
      <c r="B81" s="69" t="s">
        <v>77</v>
      </c>
      <c r="C81" s="79" t="s">
        <v>100</v>
      </c>
      <c r="D81" s="80">
        <v>3</v>
      </c>
      <c r="E81" s="80"/>
      <c r="F81" s="116">
        <f>[3]МКД!$H$161</f>
        <v>16</v>
      </c>
      <c r="G81" s="81">
        <f t="shared" si="12"/>
        <v>219.70099999999999</v>
      </c>
      <c r="H81" s="183">
        <f>162290.29/1000</f>
        <v>162.29029</v>
      </c>
      <c r="I81" s="183">
        <f>57410.71/1000</f>
        <v>57.410710000000002</v>
      </c>
      <c r="J81" s="83">
        <f t="shared" si="13"/>
        <v>216.98916</v>
      </c>
      <c r="K81" s="183">
        <f>169307.37/1000</f>
        <v>169.30736999999999</v>
      </c>
      <c r="L81" s="183">
        <f>47681.79/1000</f>
        <v>47.681789999999999</v>
      </c>
      <c r="M81" s="81">
        <f t="shared" si="14"/>
        <v>198.45892000000001</v>
      </c>
      <c r="N81" s="183">
        <f>170902.78/1000</f>
        <v>170.90278000000001</v>
      </c>
      <c r="O81" s="183">
        <f>27556.14/1000</f>
        <v>27.556139999999999</v>
      </c>
      <c r="P81" s="119">
        <f t="shared" si="15"/>
        <v>210.47000000000003</v>
      </c>
      <c r="Q81" s="191">
        <v>129.91300000000001</v>
      </c>
      <c r="R81" s="193">
        <v>80.557000000000002</v>
      </c>
      <c r="S81" s="177">
        <f t="shared" si="16"/>
        <v>13.154375000000002</v>
      </c>
    </row>
    <row r="82" spans="1:19">
      <c r="A82" s="1">
        <f t="shared" ref="A82:A145" si="17">A81+1</f>
        <v>76</v>
      </c>
      <c r="B82" s="79" t="s">
        <v>77</v>
      </c>
      <c r="C82" s="79" t="s">
        <v>37</v>
      </c>
      <c r="D82" s="80">
        <v>11</v>
      </c>
      <c r="E82" s="80" t="s">
        <v>20</v>
      </c>
      <c r="F82" s="116">
        <f>[3]МКД!$H$81</f>
        <v>12</v>
      </c>
      <c r="G82" s="81">
        <f t="shared" si="12"/>
        <v>188.36429999999999</v>
      </c>
      <c r="H82" s="85">
        <f>162793.84/1000</f>
        <v>162.79383999999999</v>
      </c>
      <c r="I82" s="82">
        <f>25570.46/1000</f>
        <v>25.570460000000001</v>
      </c>
      <c r="J82" s="83">
        <f t="shared" si="13"/>
        <v>197.26369000000003</v>
      </c>
      <c r="K82" s="82">
        <f>174648.98/1000</f>
        <v>174.64898000000002</v>
      </c>
      <c r="L82" s="82">
        <f>22614.71/1000</f>
        <v>22.614709999999999</v>
      </c>
      <c r="M82" s="81">
        <f t="shared" si="14"/>
        <v>205.84886</v>
      </c>
      <c r="N82" s="82">
        <f>180438.32/1000</f>
        <v>180.43832</v>
      </c>
      <c r="O82" s="84">
        <f>25410.54/1000</f>
        <v>25.410540000000001</v>
      </c>
      <c r="P82" s="119">
        <f t="shared" si="15"/>
        <v>208.98599999999999</v>
      </c>
      <c r="Q82" s="126">
        <v>157.72499999999999</v>
      </c>
      <c r="R82" s="129">
        <v>51.261000000000003</v>
      </c>
      <c r="S82" s="177">
        <f t="shared" si="16"/>
        <v>17.415499999999998</v>
      </c>
    </row>
    <row r="83" spans="1:19">
      <c r="A83" s="1">
        <f t="shared" si="17"/>
        <v>77</v>
      </c>
      <c r="B83" s="79" t="s">
        <v>77</v>
      </c>
      <c r="C83" s="79" t="s">
        <v>38</v>
      </c>
      <c r="D83" s="80">
        <v>12</v>
      </c>
      <c r="E83" s="80"/>
      <c r="F83" s="116">
        <f>[1]МКД!$H$243</f>
        <v>12</v>
      </c>
      <c r="G83" s="81">
        <f t="shared" si="12"/>
        <v>0</v>
      </c>
      <c r="H83" s="85">
        <v>0</v>
      </c>
      <c r="I83" s="82"/>
      <c r="J83" s="83">
        <f t="shared" si="13"/>
        <v>233.73830000000004</v>
      </c>
      <c r="K83" s="82">
        <f>97250.88/1000</f>
        <v>97.250880000000009</v>
      </c>
      <c r="L83" s="82">
        <f>136487.42/1000</f>
        <v>136.48742000000001</v>
      </c>
      <c r="M83" s="81">
        <f t="shared" si="14"/>
        <v>229.43634</v>
      </c>
      <c r="N83" s="82">
        <f>109744.06/1000</f>
        <v>109.74406</v>
      </c>
      <c r="O83" s="84">
        <f>119692.28/1000</f>
        <v>119.69228</v>
      </c>
      <c r="P83" s="119">
        <f t="shared" si="15"/>
        <v>206.06400000000002</v>
      </c>
      <c r="Q83" s="126">
        <v>100.524</v>
      </c>
      <c r="R83" s="129">
        <v>105.54</v>
      </c>
      <c r="S83" s="177">
        <f t="shared" si="16"/>
        <v>17.172000000000001</v>
      </c>
    </row>
    <row r="84" spans="1:19">
      <c r="A84" s="1">
        <f t="shared" si="17"/>
        <v>78</v>
      </c>
      <c r="B84" s="79" t="s">
        <v>77</v>
      </c>
      <c r="C84" s="79" t="s">
        <v>75</v>
      </c>
      <c r="D84" s="80">
        <v>1</v>
      </c>
      <c r="E84" s="80" t="s">
        <v>21</v>
      </c>
      <c r="F84" s="116">
        <f>[3]МКД!$H$122</f>
        <v>12</v>
      </c>
      <c r="G84" s="81">
        <f t="shared" si="12"/>
        <v>155.18887000000001</v>
      </c>
      <c r="H84" s="85">
        <f>152189.12/1000</f>
        <v>152.18912</v>
      </c>
      <c r="I84" s="82">
        <f>2999.75/1000</f>
        <v>2.9997500000000001</v>
      </c>
      <c r="J84" s="83">
        <f t="shared" si="13"/>
        <v>199.93937999999997</v>
      </c>
      <c r="K84" s="82">
        <f>192258.9/1000</f>
        <v>192.25889999999998</v>
      </c>
      <c r="L84" s="82">
        <f>7680.48/1000</f>
        <v>7.6804799999999993</v>
      </c>
      <c r="M84" s="81">
        <f t="shared" si="14"/>
        <v>207.63257999999999</v>
      </c>
      <c r="N84" s="82">
        <f>199754.36/1000</f>
        <v>199.75435999999999</v>
      </c>
      <c r="O84" s="84">
        <f>7878.22/1000</f>
        <v>7.8782200000000007</v>
      </c>
      <c r="P84" s="119">
        <f t="shared" si="15"/>
        <v>203.90199999999999</v>
      </c>
      <c r="Q84" s="126">
        <v>197.61099999999999</v>
      </c>
      <c r="R84" s="129">
        <v>6.2910000000000004</v>
      </c>
      <c r="S84" s="177">
        <f t="shared" si="16"/>
        <v>16.991833333333332</v>
      </c>
    </row>
    <row r="85" spans="1:19">
      <c r="A85" s="1">
        <f t="shared" si="17"/>
        <v>79</v>
      </c>
      <c r="B85" s="79" t="s">
        <v>77</v>
      </c>
      <c r="C85" s="79" t="s">
        <v>94</v>
      </c>
      <c r="D85" s="80">
        <v>7</v>
      </c>
      <c r="E85" s="80"/>
      <c r="F85" s="116">
        <f>[3]МКД!$H$130</f>
        <v>12</v>
      </c>
      <c r="G85" s="81">
        <f t="shared" si="12"/>
        <v>175.51003999999998</v>
      </c>
      <c r="H85" s="85">
        <f>172317.27/1000</f>
        <v>172.31726999999998</v>
      </c>
      <c r="I85" s="82">
        <f>3192.77/1000</f>
        <v>3.1927699999999999</v>
      </c>
      <c r="J85" s="83">
        <f t="shared" si="13"/>
        <v>207.60963999999998</v>
      </c>
      <c r="K85" s="82">
        <f>204529.49/1000</f>
        <v>204.52948999999998</v>
      </c>
      <c r="L85" s="82">
        <f>3080.15/1000</f>
        <v>3.0801500000000002</v>
      </c>
      <c r="M85" s="81">
        <f t="shared" si="14"/>
        <v>216.5436</v>
      </c>
      <c r="N85" s="82">
        <f>213224.75/1000</f>
        <v>213.22475</v>
      </c>
      <c r="O85" s="84">
        <f>3318.85/1000</f>
        <v>3.3188499999999999</v>
      </c>
      <c r="P85" s="119">
        <f t="shared" si="15"/>
        <v>201.61</v>
      </c>
      <c r="Q85" s="126">
        <v>201.61</v>
      </c>
      <c r="R85" s="129"/>
      <c r="S85" s="177">
        <f t="shared" si="16"/>
        <v>16.800833333333333</v>
      </c>
    </row>
    <row r="86" spans="1:19">
      <c r="A86" s="1">
        <f t="shared" si="17"/>
        <v>80</v>
      </c>
      <c r="B86" s="79" t="s">
        <v>77</v>
      </c>
      <c r="C86" s="79" t="s">
        <v>37</v>
      </c>
      <c r="D86" s="80">
        <v>29</v>
      </c>
      <c r="E86" s="80"/>
      <c r="F86" s="116">
        <f>[3]МКД!$H$83</f>
        <v>16</v>
      </c>
      <c r="G86" s="81">
        <f t="shared" si="12"/>
        <v>219.14136000000002</v>
      </c>
      <c r="H86" s="85">
        <f>85296.32/1000</f>
        <v>85.296320000000009</v>
      </c>
      <c r="I86" s="82">
        <f>133845.04/1000</f>
        <v>133.84504000000001</v>
      </c>
      <c r="J86" s="83">
        <f t="shared" si="13"/>
        <v>214.03341</v>
      </c>
      <c r="K86" s="82">
        <f>89104.96/1000</f>
        <v>89.104960000000005</v>
      </c>
      <c r="L86" s="82">
        <f>124928.45/1000</f>
        <v>124.92845</v>
      </c>
      <c r="M86" s="81">
        <f t="shared" si="14"/>
        <v>172.12243000000001</v>
      </c>
      <c r="N86" s="82">
        <f>85703.42/1000</f>
        <v>85.703419999999994</v>
      </c>
      <c r="O86" s="84">
        <f>86419.01/1000</f>
        <v>86.41901</v>
      </c>
      <c r="P86" s="119">
        <f t="shared" si="15"/>
        <v>197.52499999999998</v>
      </c>
      <c r="Q86" s="126">
        <v>93.210999999999999</v>
      </c>
      <c r="R86" s="129">
        <v>104.31399999999999</v>
      </c>
      <c r="S86" s="177">
        <f t="shared" si="16"/>
        <v>12.345312499999999</v>
      </c>
    </row>
    <row r="87" spans="1:19">
      <c r="A87" s="1">
        <f t="shared" si="17"/>
        <v>81</v>
      </c>
      <c r="B87" s="79" t="s">
        <v>77</v>
      </c>
      <c r="C87" s="79" t="s">
        <v>87</v>
      </c>
      <c r="D87" s="80">
        <v>12</v>
      </c>
      <c r="E87" s="80" t="s">
        <v>20</v>
      </c>
      <c r="F87" s="116">
        <f>[2]МКД!$H$43</f>
        <v>12</v>
      </c>
      <c r="G87" s="81">
        <f t="shared" si="12"/>
        <v>143.58751000000001</v>
      </c>
      <c r="H87" s="85">
        <f>64578.61/1000</f>
        <v>64.578609999999998</v>
      </c>
      <c r="I87" s="82">
        <f>79008.9/1000</f>
        <v>79.008899999999997</v>
      </c>
      <c r="J87" s="83">
        <f t="shared" si="13"/>
        <v>181.95146</v>
      </c>
      <c r="K87" s="82">
        <f>94743.87/1000</f>
        <v>94.743870000000001</v>
      </c>
      <c r="L87" s="82">
        <f>87207.59/1000</f>
        <v>87.207589999999996</v>
      </c>
      <c r="M87" s="81">
        <f t="shared" si="14"/>
        <v>163.93254999999999</v>
      </c>
      <c r="N87" s="82">
        <f>101976.51/1000</f>
        <v>101.97650999999999</v>
      </c>
      <c r="O87" s="84">
        <f>61956.04/1000</f>
        <v>61.956040000000002</v>
      </c>
      <c r="P87" s="119">
        <f t="shared" si="15"/>
        <v>192.46</v>
      </c>
      <c r="Q87" s="126">
        <v>57.014000000000003</v>
      </c>
      <c r="R87" s="129">
        <v>135.446</v>
      </c>
      <c r="S87" s="177">
        <f t="shared" si="16"/>
        <v>16.038333333333334</v>
      </c>
    </row>
    <row r="88" spans="1:19">
      <c r="A88" s="1">
        <f t="shared" si="17"/>
        <v>82</v>
      </c>
      <c r="B88" s="79" t="s">
        <v>77</v>
      </c>
      <c r="C88" s="79" t="s">
        <v>90</v>
      </c>
      <c r="D88" s="80">
        <v>9</v>
      </c>
      <c r="E88" s="80"/>
      <c r="F88" s="116">
        <f>[2]МКД!$H$65</f>
        <v>12</v>
      </c>
      <c r="G88" s="81">
        <f t="shared" si="12"/>
        <v>120.19086</v>
      </c>
      <c r="H88" s="85">
        <f>118314.59/1000</f>
        <v>118.31459</v>
      </c>
      <c r="I88" s="82">
        <f>1876.27/1000</f>
        <v>1.8762699999999999</v>
      </c>
      <c r="J88" s="83">
        <f t="shared" si="13"/>
        <v>141.80278000000001</v>
      </c>
      <c r="K88" s="82">
        <f>139455.16/1000</f>
        <v>139.45516000000001</v>
      </c>
      <c r="L88" s="82">
        <f>2347.62/1000</f>
        <v>2.34762</v>
      </c>
      <c r="M88" s="81">
        <f t="shared" si="14"/>
        <v>154.25941</v>
      </c>
      <c r="N88" s="82">
        <f>151619.86/1000</f>
        <v>151.61985999999999</v>
      </c>
      <c r="O88" s="84">
        <f>2639.55/1000</f>
        <v>2.6395500000000003</v>
      </c>
      <c r="P88" s="119">
        <f t="shared" si="15"/>
        <v>184.18399999999997</v>
      </c>
      <c r="Q88" s="126">
        <v>150.51499999999999</v>
      </c>
      <c r="R88" s="129">
        <v>33.668999999999997</v>
      </c>
      <c r="S88" s="177">
        <f t="shared" si="16"/>
        <v>15.348666666666665</v>
      </c>
    </row>
    <row r="89" spans="1:19">
      <c r="A89" s="1">
        <f t="shared" si="17"/>
        <v>83</v>
      </c>
      <c r="B89" s="79" t="s">
        <v>77</v>
      </c>
      <c r="C89" s="79" t="s">
        <v>96</v>
      </c>
      <c r="D89" s="80">
        <v>10</v>
      </c>
      <c r="E89" s="80" t="s">
        <v>20</v>
      </c>
      <c r="F89" s="116">
        <f>[3]МКД!$H$139</f>
        <v>12</v>
      </c>
      <c r="G89" s="81">
        <f t="shared" si="12"/>
        <v>107.44525</v>
      </c>
      <c r="H89" s="85">
        <f>78572.98/1000</f>
        <v>78.572980000000001</v>
      </c>
      <c r="I89" s="82">
        <f>28872.27/1000</f>
        <v>28.87227</v>
      </c>
      <c r="J89" s="83">
        <f t="shared" si="13"/>
        <v>168.16042999999999</v>
      </c>
      <c r="K89" s="82">
        <f>99821.34/1000</f>
        <v>99.821339999999992</v>
      </c>
      <c r="L89" s="82">
        <f>68339.09/1000</f>
        <v>68.339089999999999</v>
      </c>
      <c r="M89" s="81">
        <f t="shared" si="14"/>
        <v>175.68081000000001</v>
      </c>
      <c r="N89" s="82">
        <f>103685.04/1000</f>
        <v>103.68503999999999</v>
      </c>
      <c r="O89" s="84">
        <f>71995.77/1000</f>
        <v>71.995770000000007</v>
      </c>
      <c r="P89" s="119">
        <f t="shared" si="15"/>
        <v>182.01100000000002</v>
      </c>
      <c r="Q89" s="126">
        <v>108.715</v>
      </c>
      <c r="R89" s="129">
        <v>73.296000000000006</v>
      </c>
      <c r="S89" s="177">
        <f t="shared" si="16"/>
        <v>15.167583333333335</v>
      </c>
    </row>
    <row r="90" spans="1:19">
      <c r="A90" s="1">
        <f t="shared" si="17"/>
        <v>84</v>
      </c>
      <c r="B90" s="79" t="s">
        <v>77</v>
      </c>
      <c r="C90" s="79" t="s">
        <v>24</v>
      </c>
      <c r="D90" s="80">
        <v>3</v>
      </c>
      <c r="E90" s="80"/>
      <c r="F90" s="116">
        <f>[2]МКД!$H$26</f>
        <v>5</v>
      </c>
      <c r="G90" s="81">
        <f t="shared" si="12"/>
        <v>157.86866000000001</v>
      </c>
      <c r="H90" s="85">
        <f>59232.5/1000</f>
        <v>59.232500000000002</v>
      </c>
      <c r="I90" s="82">
        <f>98636.16/1000</f>
        <v>98.636160000000004</v>
      </c>
      <c r="J90" s="83">
        <f t="shared" si="13"/>
        <v>191.67649</v>
      </c>
      <c r="K90" s="82">
        <f>75937.87/1000</f>
        <v>75.93786999999999</v>
      </c>
      <c r="L90" s="82">
        <f>115738.62/1000</f>
        <v>115.73862</v>
      </c>
      <c r="M90" s="81">
        <f t="shared" si="14"/>
        <v>184.76197999999999</v>
      </c>
      <c r="N90" s="82">
        <f>75846.58/1000</f>
        <v>75.846580000000003</v>
      </c>
      <c r="O90" s="84">
        <f>108915.4/1000</f>
        <v>108.91539999999999</v>
      </c>
      <c r="P90" s="119">
        <f t="shared" si="15"/>
        <v>181.31700000000001</v>
      </c>
      <c r="Q90" s="126">
        <v>76.424000000000007</v>
      </c>
      <c r="R90" s="129">
        <v>104.893</v>
      </c>
      <c r="S90" s="177">
        <f t="shared" si="16"/>
        <v>36.263400000000004</v>
      </c>
    </row>
    <row r="91" spans="1:19">
      <c r="A91" s="1">
        <f t="shared" si="17"/>
        <v>85</v>
      </c>
      <c r="B91" s="79" t="s">
        <v>77</v>
      </c>
      <c r="C91" s="79" t="s">
        <v>19</v>
      </c>
      <c r="D91" s="80">
        <v>54</v>
      </c>
      <c r="E91" s="80"/>
      <c r="F91" s="116">
        <f>[2]МКД!$H$59</f>
        <v>12</v>
      </c>
      <c r="G91" s="81">
        <f t="shared" si="12"/>
        <v>171.92128999999997</v>
      </c>
      <c r="H91" s="85">
        <f>98.993+59.08</f>
        <v>158.07299999999998</v>
      </c>
      <c r="I91" s="82">
        <f>1.06829+12.78</f>
        <v>13.848289999999999</v>
      </c>
      <c r="J91" s="83">
        <f t="shared" si="13"/>
        <v>193.70559</v>
      </c>
      <c r="K91" s="82">
        <f>98.99308+85.97</f>
        <v>184.96307999999999</v>
      </c>
      <c r="L91" s="82">
        <f>1.12251+7.62</f>
        <v>8.7425099999999993</v>
      </c>
      <c r="M91" s="81">
        <f t="shared" si="14"/>
        <v>199.60308000000001</v>
      </c>
      <c r="N91" s="82">
        <f>98.99308+92.46</f>
        <v>191.45308</v>
      </c>
      <c r="O91" s="84">
        <f>1.12+7.03</f>
        <v>8.15</v>
      </c>
      <c r="P91" s="119">
        <f t="shared" si="15"/>
        <v>180.048</v>
      </c>
      <c r="Q91" s="126">
        <f>94.234+82.71</f>
        <v>176.94399999999999</v>
      </c>
      <c r="R91" s="129">
        <f>-3.636+6.74</f>
        <v>3.1040000000000001</v>
      </c>
      <c r="S91" s="177">
        <f t="shared" si="16"/>
        <v>15.004</v>
      </c>
    </row>
    <row r="92" spans="1:19">
      <c r="A92" s="1">
        <f t="shared" si="17"/>
        <v>86</v>
      </c>
      <c r="B92" s="79" t="s">
        <v>77</v>
      </c>
      <c r="C92" s="79" t="s">
        <v>92</v>
      </c>
      <c r="D92" s="80">
        <v>8</v>
      </c>
      <c r="E92" s="80"/>
      <c r="F92" s="116">
        <f>[3]МКД!$H$105</f>
        <v>8</v>
      </c>
      <c r="G92" s="81">
        <f t="shared" si="12"/>
        <v>124.7132</v>
      </c>
      <c r="H92" s="85">
        <f>54162.1/1000</f>
        <v>54.162099999999995</v>
      </c>
      <c r="I92" s="82">
        <f>70551.1/1000</f>
        <v>70.551100000000005</v>
      </c>
      <c r="J92" s="83">
        <f t="shared" si="13"/>
        <v>173.92417</v>
      </c>
      <c r="K92" s="82">
        <f>73016.31/1000</f>
        <v>73.016310000000004</v>
      </c>
      <c r="L92" s="82">
        <f>100907.86/1000</f>
        <v>100.90786</v>
      </c>
      <c r="M92" s="81">
        <f t="shared" si="14"/>
        <v>152.65571</v>
      </c>
      <c r="N92" s="82">
        <f>71515.76/1000</f>
        <v>71.51576</v>
      </c>
      <c r="O92" s="84">
        <f>81139.95/1000</f>
        <v>81.139949999999999</v>
      </c>
      <c r="P92" s="119">
        <f t="shared" si="15"/>
        <v>176.78199999999998</v>
      </c>
      <c r="Q92" s="126">
        <v>72.453999999999994</v>
      </c>
      <c r="R92" s="129">
        <v>104.328</v>
      </c>
      <c r="S92" s="177">
        <f t="shared" si="16"/>
        <v>22.097749999999998</v>
      </c>
    </row>
    <row r="93" spans="1:19">
      <c r="A93" s="1">
        <f t="shared" si="17"/>
        <v>87</v>
      </c>
      <c r="B93" s="79" t="s">
        <v>77</v>
      </c>
      <c r="C93" s="79" t="s">
        <v>83</v>
      </c>
      <c r="D93" s="80">
        <v>16</v>
      </c>
      <c r="E93" s="80"/>
      <c r="F93" s="116">
        <f>[2]МКД!$H$16</f>
        <v>16</v>
      </c>
      <c r="G93" s="81">
        <f t="shared" si="12"/>
        <v>232.11402999999996</v>
      </c>
      <c r="H93" s="82">
        <f>82430.45/1000</f>
        <v>82.430449999999993</v>
      </c>
      <c r="I93" s="82">
        <f>149683.58/1000</f>
        <v>149.68357999999998</v>
      </c>
      <c r="J93" s="83">
        <f t="shared" si="13"/>
        <v>200.22221999999999</v>
      </c>
      <c r="K93" s="82">
        <f>59883.6/1000</f>
        <v>59.883600000000001</v>
      </c>
      <c r="L93" s="82">
        <f>140338.62/1000</f>
        <v>140.33861999999999</v>
      </c>
      <c r="M93" s="81">
        <f t="shared" si="14"/>
        <v>154.04397</v>
      </c>
      <c r="N93" s="82">
        <f>59817.18/1000</f>
        <v>59.81718</v>
      </c>
      <c r="O93" s="84">
        <f>94226.79/1000</f>
        <v>94.226789999999994</v>
      </c>
      <c r="P93" s="119">
        <f t="shared" si="15"/>
        <v>163.386</v>
      </c>
      <c r="Q93" s="126">
        <v>49.673000000000002</v>
      </c>
      <c r="R93" s="129">
        <v>113.71299999999999</v>
      </c>
      <c r="S93" s="177">
        <f t="shared" si="16"/>
        <v>10.211625</v>
      </c>
    </row>
    <row r="94" spans="1:19">
      <c r="A94" s="1">
        <f t="shared" si="17"/>
        <v>88</v>
      </c>
      <c r="B94" s="79" t="s">
        <v>77</v>
      </c>
      <c r="C94" s="79" t="s">
        <v>19</v>
      </c>
      <c r="D94" s="80">
        <v>46</v>
      </c>
      <c r="E94" s="80" t="s">
        <v>20</v>
      </c>
      <c r="F94" s="132">
        <f>'[1]снесены, расселены'!$J$129</f>
        <v>14</v>
      </c>
      <c r="G94" s="81">
        <f t="shared" si="12"/>
        <v>258.90075999999999</v>
      </c>
      <c r="H94" s="85">
        <f>211134.07/1000</f>
        <v>211.13407000000001</v>
      </c>
      <c r="I94" s="82">
        <f>47766.69/1000</f>
        <v>47.766690000000004</v>
      </c>
      <c r="J94" s="83">
        <f t="shared" si="13"/>
        <v>163.68745999999999</v>
      </c>
      <c r="K94" s="82">
        <f>117871.69/1000</f>
        <v>117.87169</v>
      </c>
      <c r="L94" s="82">
        <f>45815.77/1000</f>
        <v>45.815769999999993</v>
      </c>
      <c r="M94" s="81">
        <f t="shared" si="14"/>
        <v>163.68745999999999</v>
      </c>
      <c r="N94" s="82">
        <f>117871.69/1000</f>
        <v>117.87169</v>
      </c>
      <c r="O94" s="84">
        <f>45815.77/1000</f>
        <v>45.815769999999993</v>
      </c>
      <c r="P94" s="119">
        <f t="shared" si="15"/>
        <v>163.07400000000001</v>
      </c>
      <c r="Q94" s="126">
        <v>113.404</v>
      </c>
      <c r="R94" s="129">
        <v>49.67</v>
      </c>
      <c r="S94" s="177">
        <f t="shared" si="16"/>
        <v>11.648142857142858</v>
      </c>
    </row>
    <row r="95" spans="1:19">
      <c r="A95" s="1">
        <f t="shared" si="17"/>
        <v>89</v>
      </c>
      <c r="B95" s="79" t="s">
        <v>77</v>
      </c>
      <c r="C95" s="79" t="s">
        <v>19</v>
      </c>
      <c r="D95" s="80">
        <v>18</v>
      </c>
      <c r="E95" s="80"/>
      <c r="F95" s="116">
        <f>[2]МКД!$H$47</f>
        <v>12</v>
      </c>
      <c r="G95" s="81">
        <f t="shared" si="12"/>
        <v>245.00290999999999</v>
      </c>
      <c r="H95" s="85">
        <f>53462.28/1000</f>
        <v>53.46228</v>
      </c>
      <c r="I95" s="82">
        <f>191540.63/1000</f>
        <v>191.54062999999999</v>
      </c>
      <c r="J95" s="83">
        <f t="shared" si="13"/>
        <v>302.81707</v>
      </c>
      <c r="K95" s="82">
        <f>61406.68/1000</f>
        <v>61.406680000000001</v>
      </c>
      <c r="L95" s="82">
        <f>241410.39/1000</f>
        <v>241.41039000000001</v>
      </c>
      <c r="M95" s="81">
        <f t="shared" si="14"/>
        <v>300.53615000000002</v>
      </c>
      <c r="N95" s="82">
        <f>64121.95/1000</f>
        <v>64.121949999999998</v>
      </c>
      <c r="O95" s="84">
        <f>236414.2/1000</f>
        <v>236.41420000000002</v>
      </c>
      <c r="P95" s="119">
        <f t="shared" si="15"/>
        <v>162.66399999999999</v>
      </c>
      <c r="Q95" s="126">
        <v>31.256</v>
      </c>
      <c r="R95" s="129">
        <v>131.40799999999999</v>
      </c>
      <c r="S95" s="177">
        <f t="shared" si="16"/>
        <v>13.555333333333332</v>
      </c>
    </row>
    <row r="96" spans="1:19">
      <c r="A96" s="1">
        <f t="shared" si="17"/>
        <v>90</v>
      </c>
      <c r="B96" s="79" t="s">
        <v>77</v>
      </c>
      <c r="C96" s="79" t="s">
        <v>87</v>
      </c>
      <c r="D96" s="80">
        <v>9</v>
      </c>
      <c r="E96" s="80"/>
      <c r="F96" s="116">
        <f>[2]МКД!$H$40</f>
        <v>12</v>
      </c>
      <c r="G96" s="81">
        <f t="shared" si="12"/>
        <v>169.41571999999999</v>
      </c>
      <c r="H96" s="85">
        <f>133778.46/1000</f>
        <v>133.77846</v>
      </c>
      <c r="I96" s="82">
        <f>35637.26/1000</f>
        <v>35.637260000000005</v>
      </c>
      <c r="J96" s="83">
        <f t="shared" si="13"/>
        <v>141.32249000000002</v>
      </c>
      <c r="K96" s="82">
        <f>103480.12/1000</f>
        <v>103.48012</v>
      </c>
      <c r="L96" s="82">
        <f>37842.37/1000</f>
        <v>37.842370000000003</v>
      </c>
      <c r="M96" s="81">
        <f t="shared" si="14"/>
        <v>148.72895</v>
      </c>
      <c r="N96" s="82">
        <f>109122.82/1000</f>
        <v>109.12282</v>
      </c>
      <c r="O96" s="84">
        <f>39606.13/1000</f>
        <v>39.60613</v>
      </c>
      <c r="P96" s="119">
        <f t="shared" si="15"/>
        <v>154.767</v>
      </c>
      <c r="Q96" s="126">
        <v>110.462</v>
      </c>
      <c r="R96" s="129">
        <v>44.305</v>
      </c>
      <c r="S96" s="177">
        <f t="shared" si="16"/>
        <v>12.89725</v>
      </c>
    </row>
    <row r="97" spans="1:19">
      <c r="A97" s="1">
        <f t="shared" si="17"/>
        <v>91</v>
      </c>
      <c r="B97" s="79" t="s">
        <v>77</v>
      </c>
      <c r="C97" s="79" t="s">
        <v>38</v>
      </c>
      <c r="D97" s="80">
        <v>8</v>
      </c>
      <c r="E97" s="80"/>
      <c r="F97" s="116">
        <f>[3]МКД!$H$95</f>
        <v>8</v>
      </c>
      <c r="G97" s="81">
        <f t="shared" si="12"/>
        <v>203.15948000000003</v>
      </c>
      <c r="H97" s="85">
        <f>98776.16/1000</f>
        <v>98.776160000000004</v>
      </c>
      <c r="I97" s="82">
        <f>104383.32/1000</f>
        <v>104.38332000000001</v>
      </c>
      <c r="J97" s="83">
        <f t="shared" si="13"/>
        <v>202.36960999999999</v>
      </c>
      <c r="K97" s="82">
        <f>62282.74/1000</f>
        <v>62.282739999999997</v>
      </c>
      <c r="L97" s="82">
        <f>140086.87/1000</f>
        <v>140.08687</v>
      </c>
      <c r="M97" s="81">
        <f t="shared" si="14"/>
        <v>202.39321999999999</v>
      </c>
      <c r="N97" s="82">
        <f>65488.79/1000</f>
        <v>65.488789999999995</v>
      </c>
      <c r="O97" s="84">
        <f>136904.43/1000</f>
        <v>136.90442999999999</v>
      </c>
      <c r="P97" s="119">
        <f t="shared" si="15"/>
        <v>151.529</v>
      </c>
      <c r="Q97" s="126">
        <v>32.816000000000003</v>
      </c>
      <c r="R97" s="129">
        <v>118.71299999999999</v>
      </c>
      <c r="S97" s="177">
        <f t="shared" si="16"/>
        <v>18.941125</v>
      </c>
    </row>
    <row r="98" spans="1:19">
      <c r="A98" s="1">
        <f t="shared" si="17"/>
        <v>92</v>
      </c>
      <c r="B98" s="79" t="s">
        <v>77</v>
      </c>
      <c r="C98" s="79" t="s">
        <v>83</v>
      </c>
      <c r="D98" s="80">
        <v>2</v>
      </c>
      <c r="E98" s="80"/>
      <c r="F98" s="116">
        <f>[2]МКД!$H$8</f>
        <v>16</v>
      </c>
      <c r="G98" s="81">
        <f t="shared" si="12"/>
        <v>130.65541999999999</v>
      </c>
      <c r="H98" s="82">
        <f>59264.39/1000</f>
        <v>59.264389999999999</v>
      </c>
      <c r="I98" s="82">
        <f>71391.03/1000</f>
        <v>71.391030000000001</v>
      </c>
      <c r="J98" s="83">
        <f t="shared" si="13"/>
        <v>178.27202</v>
      </c>
      <c r="K98" s="82">
        <f>98885.29/1000</f>
        <v>98.885289999999998</v>
      </c>
      <c r="L98" s="82">
        <f>79386.73/1000</f>
        <v>79.38673</v>
      </c>
      <c r="M98" s="81">
        <f t="shared" si="14"/>
        <v>166.35933</v>
      </c>
      <c r="N98" s="82">
        <f>107573.15/1000</f>
        <v>107.57315</v>
      </c>
      <c r="O98" s="84">
        <f>58786.18/1000</f>
        <v>58.786180000000002</v>
      </c>
      <c r="P98" s="119">
        <f t="shared" si="15"/>
        <v>150.93100000000001</v>
      </c>
      <c r="Q98" s="126">
        <v>59.295999999999999</v>
      </c>
      <c r="R98" s="129">
        <v>91.635000000000005</v>
      </c>
      <c r="S98" s="177">
        <f t="shared" si="16"/>
        <v>9.4331875000000007</v>
      </c>
    </row>
    <row r="99" spans="1:19">
      <c r="A99" s="1">
        <f t="shared" si="17"/>
        <v>93</v>
      </c>
      <c r="B99" s="79" t="s">
        <v>77</v>
      </c>
      <c r="C99" s="79" t="s">
        <v>83</v>
      </c>
      <c r="D99" s="80">
        <v>52</v>
      </c>
      <c r="E99" s="80"/>
      <c r="F99" s="116">
        <f>[2]МКД!$H$22</f>
        <v>6</v>
      </c>
      <c r="G99" s="81">
        <f t="shared" si="12"/>
        <v>155.06429</v>
      </c>
      <c r="H99" s="85">
        <f>120869.69/1000</f>
        <v>120.86969000000001</v>
      </c>
      <c r="I99" s="82">
        <f>34194.6/1000</f>
        <v>34.194600000000001</v>
      </c>
      <c r="J99" s="83">
        <f t="shared" si="13"/>
        <v>147.75951000000001</v>
      </c>
      <c r="K99" s="82">
        <f>114486.94/1000</f>
        <v>114.48694</v>
      </c>
      <c r="L99" s="82">
        <f>33272.57/1000</f>
        <v>33.272570000000002</v>
      </c>
      <c r="M99" s="81">
        <f t="shared" si="14"/>
        <v>144.44592</v>
      </c>
      <c r="N99" s="82">
        <f>109744.95/1000</f>
        <v>109.74495</v>
      </c>
      <c r="O99" s="84">
        <f>34700.97/1000</f>
        <v>34.700969999999998</v>
      </c>
      <c r="P99" s="119">
        <f t="shared" si="15"/>
        <v>149.267</v>
      </c>
      <c r="Q99" s="126">
        <v>109.99</v>
      </c>
      <c r="R99" s="129">
        <v>39.277000000000001</v>
      </c>
      <c r="S99" s="177">
        <f t="shared" si="16"/>
        <v>24.877833333333331</v>
      </c>
    </row>
    <row r="100" spans="1:19">
      <c r="A100" s="1">
        <f t="shared" si="17"/>
        <v>94</v>
      </c>
      <c r="B100" s="79" t="s">
        <v>77</v>
      </c>
      <c r="C100" s="79" t="s">
        <v>24</v>
      </c>
      <c r="D100" s="80">
        <v>6</v>
      </c>
      <c r="E100" s="80"/>
      <c r="F100" s="116">
        <f>[1]МКД!$H$232</f>
        <v>12</v>
      </c>
      <c r="G100" s="81">
        <f t="shared" si="12"/>
        <v>0</v>
      </c>
      <c r="H100" s="85">
        <v>0</v>
      </c>
      <c r="I100" s="82"/>
      <c r="J100" s="83">
        <f t="shared" si="13"/>
        <v>145.35674</v>
      </c>
      <c r="K100" s="82">
        <f>76233.24/1000</f>
        <v>76.233240000000009</v>
      </c>
      <c r="L100" s="82">
        <f>69123.5/1000</f>
        <v>69.123500000000007</v>
      </c>
      <c r="M100" s="81">
        <f t="shared" si="14"/>
        <v>134.43081000000001</v>
      </c>
      <c r="N100" s="82">
        <f>81826.82/1000</f>
        <v>81.826820000000012</v>
      </c>
      <c r="O100" s="84">
        <f>52603.99/1000</f>
        <v>52.603989999999996</v>
      </c>
      <c r="P100" s="119">
        <f t="shared" si="15"/>
        <v>145.06100000000001</v>
      </c>
      <c r="Q100" s="126">
        <v>91.775000000000006</v>
      </c>
      <c r="R100" s="129">
        <v>53.286000000000001</v>
      </c>
      <c r="S100" s="177">
        <f t="shared" si="16"/>
        <v>12.088416666666667</v>
      </c>
    </row>
    <row r="101" spans="1:19">
      <c r="A101" s="1">
        <f t="shared" si="17"/>
        <v>95</v>
      </c>
      <c r="B101" s="79" t="s">
        <v>77</v>
      </c>
      <c r="C101" s="79" t="s">
        <v>83</v>
      </c>
      <c r="D101" s="80">
        <v>1</v>
      </c>
      <c r="E101" s="80"/>
      <c r="F101" s="116">
        <f>[2]МКД!$H$7</f>
        <v>16</v>
      </c>
      <c r="G101" s="81">
        <f t="shared" si="12"/>
        <v>148.13458</v>
      </c>
      <c r="H101" s="82">
        <f>45898.96/1000</f>
        <v>45.898960000000002</v>
      </c>
      <c r="I101" s="82">
        <f>102235.62/1000</f>
        <v>102.23562</v>
      </c>
      <c r="J101" s="83">
        <f t="shared" si="13"/>
        <v>163.78307999999998</v>
      </c>
      <c r="K101" s="82">
        <f>74689.92/1000</f>
        <v>74.689920000000001</v>
      </c>
      <c r="L101" s="82">
        <f>89093.16/1000</f>
        <v>89.093159999999997</v>
      </c>
      <c r="M101" s="81">
        <f t="shared" si="14"/>
        <v>164.95379</v>
      </c>
      <c r="N101" s="82">
        <f>92252.19/1000</f>
        <v>92.252189999999999</v>
      </c>
      <c r="O101" s="84">
        <f>72701.6/1000</f>
        <v>72.701599999999999</v>
      </c>
      <c r="P101" s="119">
        <f t="shared" si="15"/>
        <v>142.15899999999999</v>
      </c>
      <c r="Q101" s="126">
        <v>64.763999999999996</v>
      </c>
      <c r="R101" s="129">
        <v>77.394999999999996</v>
      </c>
      <c r="S101" s="177">
        <f t="shared" si="16"/>
        <v>8.8849374999999995</v>
      </c>
    </row>
    <row r="102" spans="1:19">
      <c r="A102" s="1">
        <f t="shared" si="17"/>
        <v>96</v>
      </c>
      <c r="B102" s="79" t="s">
        <v>77</v>
      </c>
      <c r="C102" s="79" t="s">
        <v>95</v>
      </c>
      <c r="D102" s="80">
        <v>2</v>
      </c>
      <c r="E102" s="80"/>
      <c r="F102" s="116">
        <f>[3]МКД!$H$132</f>
        <v>8</v>
      </c>
      <c r="G102" s="81">
        <f t="shared" si="12"/>
        <v>97.679060000000007</v>
      </c>
      <c r="H102" s="85">
        <f>94805.1/1000</f>
        <v>94.80510000000001</v>
      </c>
      <c r="I102" s="82">
        <f>2873.96/1000</f>
        <v>2.8739599999999998</v>
      </c>
      <c r="J102" s="83">
        <f t="shared" si="13"/>
        <v>126.95059999999999</v>
      </c>
      <c r="K102" s="82">
        <f>122808.76/1000</f>
        <v>122.80875999999999</v>
      </c>
      <c r="L102" s="82">
        <f>4141.84/1000</f>
        <v>4.1418400000000002</v>
      </c>
      <c r="M102" s="81">
        <f t="shared" si="14"/>
        <v>128.81439</v>
      </c>
      <c r="N102" s="82">
        <f>124542.59/1000</f>
        <v>124.54258999999999</v>
      </c>
      <c r="O102" s="84">
        <f>4271.8/1000</f>
        <v>4.2717999999999998</v>
      </c>
      <c r="P102" s="119">
        <f t="shared" si="15"/>
        <v>140.12800000000001</v>
      </c>
      <c r="Q102" s="126">
        <v>135.453</v>
      </c>
      <c r="R102" s="129">
        <v>4.6749999999999998</v>
      </c>
      <c r="S102" s="177">
        <f t="shared" si="16"/>
        <v>17.516000000000002</v>
      </c>
    </row>
    <row r="103" spans="1:19">
      <c r="A103" s="1">
        <f t="shared" si="17"/>
        <v>97</v>
      </c>
      <c r="B103" s="79" t="s">
        <v>77</v>
      </c>
      <c r="C103" s="79" t="s">
        <v>83</v>
      </c>
      <c r="D103" s="80">
        <v>6</v>
      </c>
      <c r="E103" s="80"/>
      <c r="F103" s="116">
        <f>[2]МКД!$H$10</f>
        <v>12</v>
      </c>
      <c r="G103" s="81">
        <f t="shared" ref="G103:G134" si="18">H103+I103</f>
        <v>123.71976999999998</v>
      </c>
      <c r="H103" s="82">
        <f>69996.18/1000</f>
        <v>69.996179999999995</v>
      </c>
      <c r="I103" s="82">
        <f>53723.59/1000</f>
        <v>53.723589999999994</v>
      </c>
      <c r="J103" s="83">
        <f t="shared" ref="J103:J134" si="19">K103+L103</f>
        <v>134.28301999999999</v>
      </c>
      <c r="K103" s="82">
        <f>71245.13/1000</f>
        <v>71.245130000000003</v>
      </c>
      <c r="L103" s="82">
        <f>63037.89/1000</f>
        <v>63.037889999999997</v>
      </c>
      <c r="M103" s="81">
        <f t="shared" ref="M103:M134" si="20">N103+O103</f>
        <v>117.40774999999999</v>
      </c>
      <c r="N103" s="82">
        <f>73932.51/1000</f>
        <v>73.932509999999994</v>
      </c>
      <c r="O103" s="84">
        <f>43475.24/1000</f>
        <v>43.475239999999999</v>
      </c>
      <c r="P103" s="119">
        <f t="shared" ref="P103:P134" si="21">Q103+R103</f>
        <v>138.392</v>
      </c>
      <c r="Q103" s="126">
        <v>60.106999999999999</v>
      </c>
      <c r="R103" s="129">
        <v>78.284999999999997</v>
      </c>
      <c r="S103" s="177">
        <f t="shared" ref="S103:S134" si="22">P103/F103</f>
        <v>11.532666666666666</v>
      </c>
    </row>
    <row r="104" spans="1:19">
      <c r="A104" s="1">
        <f t="shared" si="17"/>
        <v>98</v>
      </c>
      <c r="B104" s="79" t="s">
        <v>77</v>
      </c>
      <c r="C104" s="79" t="s">
        <v>96</v>
      </c>
      <c r="D104" s="80">
        <v>3</v>
      </c>
      <c r="E104" s="80" t="s">
        <v>20</v>
      </c>
      <c r="F104" s="116">
        <f>[3]МКД!$H$134</f>
        <v>12</v>
      </c>
      <c r="G104" s="81">
        <f t="shared" si="18"/>
        <v>72.146929999999998</v>
      </c>
      <c r="H104" s="85">
        <f>35143.84/1000</f>
        <v>35.143839999999997</v>
      </c>
      <c r="I104" s="82">
        <f>37003.09/1000</f>
        <v>37.003089999999993</v>
      </c>
      <c r="J104" s="83">
        <f t="shared" si="19"/>
        <v>117.58194999999999</v>
      </c>
      <c r="K104" s="82">
        <f>39827.89/1000</f>
        <v>39.827889999999996</v>
      </c>
      <c r="L104" s="82">
        <f>77754.06/1000</f>
        <v>77.754059999999996</v>
      </c>
      <c r="M104" s="81">
        <f t="shared" si="20"/>
        <v>135.16678000000002</v>
      </c>
      <c r="N104" s="82">
        <f>44498.71/1000</f>
        <v>44.498710000000003</v>
      </c>
      <c r="O104" s="84">
        <f>90668.07/1000</f>
        <v>90.66807</v>
      </c>
      <c r="P104" s="119">
        <f t="shared" si="21"/>
        <v>138.26</v>
      </c>
      <c r="Q104" s="126">
        <v>46.362000000000002</v>
      </c>
      <c r="R104" s="129">
        <v>91.897999999999996</v>
      </c>
      <c r="S104" s="177">
        <f t="shared" si="22"/>
        <v>11.521666666666667</v>
      </c>
    </row>
    <row r="105" spans="1:19">
      <c r="A105" s="1">
        <f t="shared" si="17"/>
        <v>99</v>
      </c>
      <c r="B105" s="79" t="s">
        <v>77</v>
      </c>
      <c r="C105" s="79" t="s">
        <v>19</v>
      </c>
      <c r="D105" s="80">
        <v>52</v>
      </c>
      <c r="E105" s="80" t="s">
        <v>20</v>
      </c>
      <c r="F105" s="116">
        <f>[2]МКД!$H$57</f>
        <v>12</v>
      </c>
      <c r="G105" s="81">
        <f t="shared" si="18"/>
        <v>149.76</v>
      </c>
      <c r="H105" s="85">
        <f>42.19+44.99</f>
        <v>87.18</v>
      </c>
      <c r="I105" s="82">
        <f>1.3+61.28</f>
        <v>62.58</v>
      </c>
      <c r="J105" s="83">
        <f t="shared" si="19"/>
        <v>197.41000000000003</v>
      </c>
      <c r="K105" s="82">
        <f>40.09+68.36</f>
        <v>108.45</v>
      </c>
      <c r="L105" s="82">
        <f>1.29+87.67</f>
        <v>88.960000000000008</v>
      </c>
      <c r="M105" s="81">
        <f t="shared" si="20"/>
        <v>167.27</v>
      </c>
      <c r="N105" s="82">
        <f>40.09+66.98</f>
        <v>107.07000000000001</v>
      </c>
      <c r="O105" s="84">
        <f>1.29+58.91</f>
        <v>60.199999999999996</v>
      </c>
      <c r="P105" s="119">
        <f t="shared" si="21"/>
        <v>137.94499999999999</v>
      </c>
      <c r="Q105" s="126">
        <f>27.549+62.76</f>
        <v>90.308999999999997</v>
      </c>
      <c r="R105" s="129">
        <f>-11.254+58.89</f>
        <v>47.636000000000003</v>
      </c>
      <c r="S105" s="177">
        <f t="shared" si="22"/>
        <v>11.495416666666666</v>
      </c>
    </row>
    <row r="106" spans="1:19">
      <c r="A106" s="1">
        <f t="shared" si="17"/>
        <v>100</v>
      </c>
      <c r="B106" s="79" t="s">
        <v>77</v>
      </c>
      <c r="C106" s="79" t="s">
        <v>83</v>
      </c>
      <c r="D106" s="80">
        <v>48</v>
      </c>
      <c r="E106" s="80" t="s">
        <v>84</v>
      </c>
      <c r="F106" s="116">
        <f>[2]МКД!$H$21</f>
        <v>12</v>
      </c>
      <c r="G106" s="81">
        <f t="shared" si="18"/>
        <v>91.344200000000001</v>
      </c>
      <c r="H106" s="85">
        <f>57263.48/1000</f>
        <v>57.263480000000001</v>
      </c>
      <c r="I106" s="82">
        <f>34080.72/1000</f>
        <v>34.080719999999999</v>
      </c>
      <c r="J106" s="83">
        <f t="shared" si="19"/>
        <v>121.02299000000001</v>
      </c>
      <c r="K106" s="82">
        <f>72213.27/1000</f>
        <v>72.213270000000009</v>
      </c>
      <c r="L106" s="82">
        <f>48809.72/1000</f>
        <v>48.809719999999999</v>
      </c>
      <c r="M106" s="81">
        <f t="shared" si="20"/>
        <v>130.03731999999999</v>
      </c>
      <c r="N106" s="82">
        <f>78837.97/1000</f>
        <v>78.837969999999999</v>
      </c>
      <c r="O106" s="84">
        <f>51199.35/1000</f>
        <v>51.199349999999995</v>
      </c>
      <c r="P106" s="119">
        <f t="shared" si="21"/>
        <v>137.126</v>
      </c>
      <c r="Q106" s="126">
        <v>80.263999999999996</v>
      </c>
      <c r="R106" s="129">
        <v>56.862000000000002</v>
      </c>
      <c r="S106" s="177">
        <f t="shared" si="22"/>
        <v>11.427166666666666</v>
      </c>
    </row>
    <row r="107" spans="1:19">
      <c r="A107" s="1">
        <f t="shared" si="17"/>
        <v>101</v>
      </c>
      <c r="B107" s="79" t="s">
        <v>77</v>
      </c>
      <c r="C107" s="79" t="s">
        <v>19</v>
      </c>
      <c r="D107" s="80">
        <v>30</v>
      </c>
      <c r="E107" s="80"/>
      <c r="F107" s="116">
        <f>[1]МКД!$H$238</f>
        <v>19</v>
      </c>
      <c r="G107" s="81">
        <f t="shared" si="18"/>
        <v>0</v>
      </c>
      <c r="H107" s="85">
        <v>0</v>
      </c>
      <c r="I107" s="82"/>
      <c r="J107" s="83">
        <f t="shared" si="19"/>
        <v>126.59423000000001</v>
      </c>
      <c r="K107" s="82">
        <f>39040.55/1000</f>
        <v>39.040550000000003</v>
      </c>
      <c r="L107" s="82">
        <f>87553.68/1000</f>
        <v>87.55368</v>
      </c>
      <c r="M107" s="81">
        <f t="shared" si="20"/>
        <v>120.90817000000001</v>
      </c>
      <c r="N107" s="82">
        <f>42948.21/1000</f>
        <v>42.948209999999996</v>
      </c>
      <c r="O107" s="84">
        <f>77959.96/1000</f>
        <v>77.959960000000009</v>
      </c>
      <c r="P107" s="119">
        <f t="shared" si="21"/>
        <v>137.06700000000001</v>
      </c>
      <c r="Q107" s="126">
        <v>45.011000000000003</v>
      </c>
      <c r="R107" s="129">
        <v>92.055999999999997</v>
      </c>
      <c r="S107" s="177">
        <f t="shared" si="22"/>
        <v>7.2140526315789479</v>
      </c>
    </row>
    <row r="108" spans="1:19">
      <c r="A108" s="1">
        <f t="shared" si="17"/>
        <v>102</v>
      </c>
      <c r="B108" s="79" t="s">
        <v>77</v>
      </c>
      <c r="C108" s="79" t="s">
        <v>92</v>
      </c>
      <c r="D108" s="80">
        <v>43</v>
      </c>
      <c r="E108" s="80"/>
      <c r="F108" s="116">
        <f>[3]МКД!$H$121</f>
        <v>35</v>
      </c>
      <c r="G108" s="81">
        <f t="shared" si="18"/>
        <v>192.46645999999998</v>
      </c>
      <c r="H108" s="85">
        <f>69399.7/1000</f>
        <v>69.399699999999996</v>
      </c>
      <c r="I108" s="82">
        <f>123066.76/1000</f>
        <v>123.06675999999999</v>
      </c>
      <c r="J108" s="83">
        <f t="shared" si="19"/>
        <v>192.46645999999998</v>
      </c>
      <c r="K108" s="82">
        <f>69399.7/1000</f>
        <v>69.399699999999996</v>
      </c>
      <c r="L108" s="82">
        <f>123066.76/1000</f>
        <v>123.06675999999999</v>
      </c>
      <c r="M108" s="81">
        <f t="shared" si="20"/>
        <v>69.399699999999996</v>
      </c>
      <c r="N108" s="82">
        <f>69399.7/1000</f>
        <v>69.399699999999996</v>
      </c>
      <c r="O108" s="84"/>
      <c r="P108" s="119">
        <f t="shared" si="21"/>
        <v>134.04499999999999</v>
      </c>
      <c r="Q108" s="126">
        <v>39.101999999999997</v>
      </c>
      <c r="R108" s="129">
        <v>94.942999999999998</v>
      </c>
      <c r="S108" s="177">
        <f t="shared" si="22"/>
        <v>3.8298571428571426</v>
      </c>
    </row>
    <row r="109" spans="1:19">
      <c r="A109" s="1">
        <f t="shared" si="17"/>
        <v>103</v>
      </c>
      <c r="B109" s="79" t="s">
        <v>77</v>
      </c>
      <c r="C109" s="79" t="s">
        <v>19</v>
      </c>
      <c r="D109" s="80">
        <v>47</v>
      </c>
      <c r="E109" s="80" t="s">
        <v>20</v>
      </c>
      <c r="F109" s="116">
        <f>[2]МКД!$H$53</f>
        <v>12</v>
      </c>
      <c r="G109" s="81">
        <f t="shared" si="18"/>
        <v>205.12887999999998</v>
      </c>
      <c r="H109" s="85">
        <f>199797.53/1000</f>
        <v>199.79752999999999</v>
      </c>
      <c r="I109" s="82">
        <f>5331.35/1000</f>
        <v>5.3313500000000005</v>
      </c>
      <c r="J109" s="83">
        <f t="shared" si="19"/>
        <v>209.49222000000003</v>
      </c>
      <c r="K109" s="82">
        <f>204011.79/1000</f>
        <v>204.01179000000002</v>
      </c>
      <c r="L109" s="82">
        <f>5480.43/1000</f>
        <v>5.4804300000000001</v>
      </c>
      <c r="M109" s="81">
        <f t="shared" si="20"/>
        <v>172.06044999999997</v>
      </c>
      <c r="N109" s="82">
        <f>167283.36/1000</f>
        <v>167.28335999999999</v>
      </c>
      <c r="O109" s="84">
        <f>4777.09/1000</f>
        <v>4.7770900000000003</v>
      </c>
      <c r="P109" s="119">
        <f t="shared" si="21"/>
        <v>129.27799999999999</v>
      </c>
      <c r="Q109" s="126">
        <v>130.303</v>
      </c>
      <c r="R109" s="129">
        <v>-1.0249999999999999</v>
      </c>
      <c r="S109" s="177">
        <f t="shared" si="22"/>
        <v>10.773166666666667</v>
      </c>
    </row>
    <row r="110" spans="1:19">
      <c r="A110" s="1">
        <f t="shared" si="17"/>
        <v>104</v>
      </c>
      <c r="B110" s="79" t="s">
        <v>77</v>
      </c>
      <c r="C110" s="79" t="s">
        <v>96</v>
      </c>
      <c r="D110" s="80">
        <v>5</v>
      </c>
      <c r="E110" s="80" t="s">
        <v>20</v>
      </c>
      <c r="F110" s="116">
        <f>[3]МКД!$H$135</f>
        <v>12</v>
      </c>
      <c r="G110" s="81">
        <f t="shared" si="18"/>
        <v>75.361099999999993</v>
      </c>
      <c r="H110" s="85">
        <f>47709.25/1000</f>
        <v>47.709249999999997</v>
      </c>
      <c r="I110" s="82">
        <f>27651.85/1000</f>
        <v>27.65185</v>
      </c>
      <c r="J110" s="83">
        <f t="shared" si="19"/>
        <v>109.43227</v>
      </c>
      <c r="K110" s="82">
        <f>72666.74/1000</f>
        <v>72.666740000000004</v>
      </c>
      <c r="L110" s="82">
        <f>36765.53/1000</f>
        <v>36.765529999999998</v>
      </c>
      <c r="M110" s="81">
        <f t="shared" si="20"/>
        <v>116.2978</v>
      </c>
      <c r="N110" s="82">
        <f>77133.09/1000</f>
        <v>77.133089999999996</v>
      </c>
      <c r="O110" s="84">
        <f>39164.71/1000</f>
        <v>39.164709999999999</v>
      </c>
      <c r="P110" s="119">
        <f t="shared" si="21"/>
        <v>125.71000000000001</v>
      </c>
      <c r="Q110" s="126">
        <v>83.376000000000005</v>
      </c>
      <c r="R110" s="129">
        <v>42.334000000000003</v>
      </c>
      <c r="S110" s="177">
        <f t="shared" si="22"/>
        <v>10.475833333333334</v>
      </c>
    </row>
    <row r="111" spans="1:19">
      <c r="A111" s="1">
        <f t="shared" si="17"/>
        <v>105</v>
      </c>
      <c r="B111" s="79" t="s">
        <v>77</v>
      </c>
      <c r="C111" s="178" t="s">
        <v>79</v>
      </c>
      <c r="D111" s="140">
        <v>56</v>
      </c>
      <c r="E111" s="140" t="s">
        <v>20</v>
      </c>
      <c r="F111" s="75">
        <f>[1]МКД!$H$61</f>
        <v>12</v>
      </c>
      <c r="G111" s="148">
        <f t="shared" si="18"/>
        <v>123.7</v>
      </c>
      <c r="H111" s="184">
        <v>53.84</v>
      </c>
      <c r="I111" s="188">
        <v>69.86</v>
      </c>
      <c r="J111" s="149">
        <f t="shared" si="19"/>
        <v>225.35</v>
      </c>
      <c r="K111" s="184">
        <v>100.53</v>
      </c>
      <c r="L111" s="188">
        <v>124.82</v>
      </c>
      <c r="M111" s="148">
        <f t="shared" si="20"/>
        <v>128.33000000000001</v>
      </c>
      <c r="N111" s="184">
        <v>116.53</v>
      </c>
      <c r="O111" s="190">
        <v>11.8</v>
      </c>
      <c r="P111" s="150">
        <f t="shared" si="21"/>
        <v>125.41</v>
      </c>
      <c r="Q111" s="186">
        <v>63.22</v>
      </c>
      <c r="R111" s="194">
        <v>62.19</v>
      </c>
      <c r="S111" s="151">
        <f t="shared" si="22"/>
        <v>10.450833333333334</v>
      </c>
    </row>
    <row r="112" spans="1:19">
      <c r="A112" s="1">
        <f t="shared" si="17"/>
        <v>106</v>
      </c>
      <c r="B112" s="79" t="s">
        <v>77</v>
      </c>
      <c r="C112" s="79" t="s">
        <v>74</v>
      </c>
      <c r="D112" s="80">
        <v>2</v>
      </c>
      <c r="E112" s="80"/>
      <c r="F112" s="116">
        <f>[3]МКД!$H$88</f>
        <v>12</v>
      </c>
      <c r="G112" s="81">
        <f t="shared" si="18"/>
        <v>150.49594999999999</v>
      </c>
      <c r="H112" s="85">
        <f>90907.79/1000</f>
        <v>90.907789999999991</v>
      </c>
      <c r="I112" s="82">
        <f>59588.16/1000</f>
        <v>59.588160000000002</v>
      </c>
      <c r="J112" s="83">
        <f t="shared" si="19"/>
        <v>139.89531999999997</v>
      </c>
      <c r="K112" s="82">
        <f>69163.51/1000</f>
        <v>69.163509999999988</v>
      </c>
      <c r="L112" s="82">
        <f>70731.81/1000</f>
        <v>70.731809999999996</v>
      </c>
      <c r="M112" s="81">
        <f t="shared" si="20"/>
        <v>131.88586000000001</v>
      </c>
      <c r="N112" s="82">
        <f>76885.21/1000</f>
        <v>76.885210000000001</v>
      </c>
      <c r="O112" s="84">
        <f>55000.65/1000</f>
        <v>55.00065</v>
      </c>
      <c r="P112" s="119">
        <f t="shared" si="21"/>
        <v>123.51700000000001</v>
      </c>
      <c r="Q112" s="126">
        <v>67.674000000000007</v>
      </c>
      <c r="R112" s="129">
        <v>55.843000000000004</v>
      </c>
      <c r="S112" s="177">
        <f t="shared" si="22"/>
        <v>10.293083333333334</v>
      </c>
    </row>
    <row r="113" spans="1:19">
      <c r="A113" s="1">
        <f t="shared" si="17"/>
        <v>107</v>
      </c>
      <c r="B113" s="79" t="s">
        <v>77</v>
      </c>
      <c r="C113" s="79" t="s">
        <v>37</v>
      </c>
      <c r="D113" s="80">
        <v>9</v>
      </c>
      <c r="E113" s="80" t="s">
        <v>20</v>
      </c>
      <c r="F113" s="116">
        <f>[3]МКД!$H$79</f>
        <v>12</v>
      </c>
      <c r="G113" s="81">
        <f t="shared" si="18"/>
        <v>111.18792999999999</v>
      </c>
      <c r="H113" s="85">
        <f>61689.65/1000</f>
        <v>61.68965</v>
      </c>
      <c r="I113" s="82">
        <f>49498.28/1000</f>
        <v>49.498280000000001</v>
      </c>
      <c r="J113" s="83">
        <f t="shared" si="19"/>
        <v>104.81153</v>
      </c>
      <c r="K113" s="82">
        <f>53322.75/1000</f>
        <v>53.322749999999999</v>
      </c>
      <c r="L113" s="82">
        <f>51488.78/1000</f>
        <v>51.488779999999998</v>
      </c>
      <c r="M113" s="81">
        <f t="shared" si="20"/>
        <v>120.27132</v>
      </c>
      <c r="N113" s="82">
        <f>58241.4/1000</f>
        <v>58.241399999999999</v>
      </c>
      <c r="O113" s="84">
        <f>62029.92/1000</f>
        <v>62.029919999999997</v>
      </c>
      <c r="P113" s="119">
        <f t="shared" si="21"/>
        <v>123.37899999999999</v>
      </c>
      <c r="Q113" s="126">
        <v>58.241999999999997</v>
      </c>
      <c r="R113" s="129">
        <v>65.137</v>
      </c>
      <c r="S113" s="177">
        <f t="shared" si="22"/>
        <v>10.281583333333332</v>
      </c>
    </row>
    <row r="114" spans="1:19">
      <c r="A114" s="1">
        <f t="shared" si="17"/>
        <v>108</v>
      </c>
      <c r="B114" s="79" t="s">
        <v>77</v>
      </c>
      <c r="C114" s="79" t="s">
        <v>19</v>
      </c>
      <c r="D114" s="80">
        <v>43</v>
      </c>
      <c r="E114" s="80"/>
      <c r="F114" s="116">
        <f>[2]МКД!$H$50</f>
        <v>12</v>
      </c>
      <c r="G114" s="81">
        <f t="shared" si="18"/>
        <v>91.437490000000011</v>
      </c>
      <c r="H114" s="85">
        <f>86432.88/1000</f>
        <v>86.432880000000011</v>
      </c>
      <c r="I114" s="82">
        <f>5004.61/1000</f>
        <v>5.0046099999999996</v>
      </c>
      <c r="J114" s="83">
        <f t="shared" si="19"/>
        <v>116.52929</v>
      </c>
      <c r="K114" s="82">
        <f>109873.44/1000</f>
        <v>109.87344</v>
      </c>
      <c r="L114" s="82">
        <f>6655.85/1000</f>
        <v>6.65585</v>
      </c>
      <c r="M114" s="81">
        <f t="shared" si="20"/>
        <v>112.12295</v>
      </c>
      <c r="N114" s="82">
        <f>105477.88/1000</f>
        <v>105.47788</v>
      </c>
      <c r="O114" s="84">
        <f>6645.07/1000</f>
        <v>6.6450699999999996</v>
      </c>
      <c r="P114" s="119">
        <f t="shared" si="21"/>
        <v>122.67700000000001</v>
      </c>
      <c r="Q114" s="126">
        <v>117.825</v>
      </c>
      <c r="R114" s="129">
        <v>4.8520000000000003</v>
      </c>
      <c r="S114" s="177">
        <f t="shared" si="22"/>
        <v>10.223083333333333</v>
      </c>
    </row>
    <row r="115" spans="1:19">
      <c r="A115" s="1">
        <f t="shared" si="17"/>
        <v>109</v>
      </c>
      <c r="B115" s="79" t="s">
        <v>77</v>
      </c>
      <c r="C115" s="79" t="s">
        <v>83</v>
      </c>
      <c r="D115" s="80">
        <v>5</v>
      </c>
      <c r="E115" s="80"/>
      <c r="F115" s="131">
        <f>[1]МКД!$H$230</f>
        <v>15</v>
      </c>
      <c r="G115" s="81">
        <f t="shared" si="18"/>
        <v>0</v>
      </c>
      <c r="H115" s="82">
        <v>0</v>
      </c>
      <c r="I115" s="82"/>
      <c r="J115" s="83">
        <f t="shared" si="19"/>
        <v>132.68709000000001</v>
      </c>
      <c r="K115" s="82">
        <f>90259.55/1000</f>
        <v>90.259550000000004</v>
      </c>
      <c r="L115" s="82">
        <f>42427.54/1000</f>
        <v>42.42754</v>
      </c>
      <c r="M115" s="81">
        <f t="shared" si="20"/>
        <v>100.16810000000001</v>
      </c>
      <c r="N115" s="82">
        <f>75390.36/1000</f>
        <v>75.390360000000001</v>
      </c>
      <c r="O115" s="84">
        <f>24777.74/1000</f>
        <v>24.777740000000001</v>
      </c>
      <c r="P115" s="119">
        <f t="shared" si="21"/>
        <v>119.678</v>
      </c>
      <c r="Q115" s="126">
        <v>89.153000000000006</v>
      </c>
      <c r="R115" s="129">
        <v>30.524999999999999</v>
      </c>
      <c r="S115" s="177">
        <f t="shared" si="22"/>
        <v>7.978533333333333</v>
      </c>
    </row>
    <row r="116" spans="1:19">
      <c r="A116" s="1">
        <f t="shared" si="17"/>
        <v>110</v>
      </c>
      <c r="B116" s="79" t="s">
        <v>77</v>
      </c>
      <c r="C116" s="89" t="s">
        <v>97</v>
      </c>
      <c r="D116" s="80">
        <v>8</v>
      </c>
      <c r="E116" s="80"/>
      <c r="F116" s="116">
        <f>[1]МКД!$H$252</f>
        <v>12</v>
      </c>
      <c r="G116" s="81">
        <f t="shared" si="18"/>
        <v>0</v>
      </c>
      <c r="H116" s="85">
        <v>0</v>
      </c>
      <c r="I116" s="82"/>
      <c r="J116" s="83">
        <f t="shared" si="19"/>
        <v>177.31363999999999</v>
      </c>
      <c r="K116" s="82">
        <f>89925.03/1000</f>
        <v>89.925029999999992</v>
      </c>
      <c r="L116" s="82">
        <f>87388.61/1000</f>
        <v>87.38861</v>
      </c>
      <c r="M116" s="81">
        <f t="shared" si="20"/>
        <v>156.12831</v>
      </c>
      <c r="N116" s="82">
        <f>93179.28/1000</f>
        <v>93.179280000000006</v>
      </c>
      <c r="O116" s="84">
        <f>62949.03/1000</f>
        <v>62.94903</v>
      </c>
      <c r="P116" s="119">
        <f t="shared" si="21"/>
        <v>113.35599999999999</v>
      </c>
      <c r="Q116" s="126">
        <v>56.280999999999999</v>
      </c>
      <c r="R116" s="129">
        <v>57.075000000000003</v>
      </c>
      <c r="S116" s="177">
        <f t="shared" si="22"/>
        <v>9.4463333333333335</v>
      </c>
    </row>
    <row r="117" spans="1:19">
      <c r="A117" s="1">
        <f t="shared" si="17"/>
        <v>111</v>
      </c>
      <c r="B117" s="79" t="s">
        <v>77</v>
      </c>
      <c r="C117" s="79" t="s">
        <v>86</v>
      </c>
      <c r="D117" s="80">
        <v>3</v>
      </c>
      <c r="E117" s="80"/>
      <c r="F117" s="116">
        <f>[2]МКД!$H$37</f>
        <v>8</v>
      </c>
      <c r="G117" s="81">
        <f t="shared" si="18"/>
        <v>104.31865999999999</v>
      </c>
      <c r="H117" s="85">
        <f>103262.2/1000</f>
        <v>103.26219999999999</v>
      </c>
      <c r="I117" s="82">
        <f>1056.46/1000</f>
        <v>1.05646</v>
      </c>
      <c r="J117" s="83">
        <f t="shared" si="19"/>
        <v>108.85078999999999</v>
      </c>
      <c r="K117" s="82">
        <f>107596.81/1000</f>
        <v>107.59680999999999</v>
      </c>
      <c r="L117" s="82">
        <f>1253.98/1000</f>
        <v>1.2539800000000001</v>
      </c>
      <c r="M117" s="81">
        <f t="shared" si="20"/>
        <v>103.29631999999999</v>
      </c>
      <c r="N117" s="82">
        <f>102106.73/1000</f>
        <v>102.10673</v>
      </c>
      <c r="O117" s="84">
        <f>1189.59/1000</f>
        <v>1.1895899999999999</v>
      </c>
      <c r="P117" s="119">
        <f t="shared" si="21"/>
        <v>111.40400000000001</v>
      </c>
      <c r="Q117" s="126">
        <v>108.608</v>
      </c>
      <c r="R117" s="129">
        <v>2.7959999999999998</v>
      </c>
      <c r="S117" s="177">
        <f t="shared" si="22"/>
        <v>13.925500000000001</v>
      </c>
    </row>
    <row r="118" spans="1:19">
      <c r="A118" s="1">
        <f t="shared" si="17"/>
        <v>112</v>
      </c>
      <c r="B118" s="79" t="s">
        <v>77</v>
      </c>
      <c r="C118" s="79" t="s">
        <v>99</v>
      </c>
      <c r="D118" s="80">
        <v>43</v>
      </c>
      <c r="E118" s="80" t="s">
        <v>20</v>
      </c>
      <c r="F118" s="116">
        <f>[1]МКД!$H$339</f>
        <v>12</v>
      </c>
      <c r="G118" s="81">
        <f t="shared" si="18"/>
        <v>0</v>
      </c>
      <c r="H118" s="85">
        <v>0</v>
      </c>
      <c r="I118" s="82"/>
      <c r="J118" s="83">
        <f t="shared" si="19"/>
        <v>103.46209999999999</v>
      </c>
      <c r="K118" s="82">
        <f>54858.89/1000</f>
        <v>54.858890000000002</v>
      </c>
      <c r="L118" s="82">
        <f>48603.21/1000</f>
        <v>48.603209999999997</v>
      </c>
      <c r="M118" s="81">
        <f t="shared" si="20"/>
        <v>84.678460000000001</v>
      </c>
      <c r="N118" s="82">
        <f>64453.79/1000</f>
        <v>64.453789999999998</v>
      </c>
      <c r="O118" s="84">
        <f>20224.67/1000</f>
        <v>20.22467</v>
      </c>
      <c r="P118" s="119">
        <f t="shared" si="21"/>
        <v>110.747</v>
      </c>
      <c r="Q118" s="126">
        <v>59.353999999999999</v>
      </c>
      <c r="R118" s="129">
        <v>51.393000000000001</v>
      </c>
      <c r="S118" s="177">
        <f t="shared" si="22"/>
        <v>9.2289166666666667</v>
      </c>
    </row>
    <row r="119" spans="1:19">
      <c r="A119" s="1">
        <f t="shared" si="17"/>
        <v>113</v>
      </c>
      <c r="B119" s="79" t="s">
        <v>77</v>
      </c>
      <c r="C119" s="79" t="s">
        <v>94</v>
      </c>
      <c r="D119" s="80">
        <v>6</v>
      </c>
      <c r="E119" s="80"/>
      <c r="F119" s="116">
        <f>[3]МКД!$H$129</f>
        <v>8</v>
      </c>
      <c r="G119" s="81">
        <f t="shared" si="18"/>
        <v>91.400249999999986</v>
      </c>
      <c r="H119" s="85">
        <f>90190.56/1000</f>
        <v>90.190559999999991</v>
      </c>
      <c r="I119" s="82">
        <f>1209.69/1000</f>
        <v>1.2096900000000002</v>
      </c>
      <c r="J119" s="83">
        <f t="shared" si="19"/>
        <v>98.103560000000002</v>
      </c>
      <c r="K119" s="82">
        <f>96562.54/1000</f>
        <v>96.562539999999998</v>
      </c>
      <c r="L119" s="82">
        <f>1541.02/1000</f>
        <v>1.5410200000000001</v>
      </c>
      <c r="M119" s="81">
        <f t="shared" si="20"/>
        <v>91.821889999999996</v>
      </c>
      <c r="N119" s="82">
        <f>90601.08/1000</f>
        <v>90.601079999999996</v>
      </c>
      <c r="O119" s="84">
        <f>1220.81/1000</f>
        <v>1.22081</v>
      </c>
      <c r="P119" s="119">
        <f t="shared" si="21"/>
        <v>110.208</v>
      </c>
      <c r="Q119" s="126">
        <v>74.277000000000001</v>
      </c>
      <c r="R119" s="129">
        <v>35.930999999999997</v>
      </c>
      <c r="S119" s="177">
        <f t="shared" si="22"/>
        <v>13.776</v>
      </c>
    </row>
    <row r="120" spans="1:19">
      <c r="A120" s="1">
        <f t="shared" si="17"/>
        <v>114</v>
      </c>
      <c r="B120" s="79" t="s">
        <v>77</v>
      </c>
      <c r="C120" s="79" t="s">
        <v>90</v>
      </c>
      <c r="D120" s="80">
        <v>2</v>
      </c>
      <c r="E120" s="80"/>
      <c r="F120" s="116">
        <f>[2]МКД!$H$63</f>
        <v>12</v>
      </c>
      <c r="G120" s="81">
        <f t="shared" si="18"/>
        <v>196.20386999999999</v>
      </c>
      <c r="H120" s="85">
        <f>83854.08/1000</f>
        <v>83.854079999999996</v>
      </c>
      <c r="I120" s="82">
        <f>112349.79/1000</f>
        <v>112.34979</v>
      </c>
      <c r="J120" s="83">
        <f t="shared" si="19"/>
        <v>112.74062000000001</v>
      </c>
      <c r="K120" s="82">
        <f>44787.57/1000</f>
        <v>44.787570000000002</v>
      </c>
      <c r="L120" s="82">
        <f>67953.05/1000</f>
        <v>67.953050000000005</v>
      </c>
      <c r="M120" s="81">
        <f t="shared" si="20"/>
        <v>108.49081000000001</v>
      </c>
      <c r="N120" s="82">
        <f>44787.57/1000</f>
        <v>44.787570000000002</v>
      </c>
      <c r="O120" s="84">
        <f>63703.24/1000</f>
        <v>63.703240000000001</v>
      </c>
      <c r="P120" s="119">
        <f t="shared" si="21"/>
        <v>110.029</v>
      </c>
      <c r="Q120" s="126">
        <v>42.076000000000001</v>
      </c>
      <c r="R120" s="129">
        <v>67.953000000000003</v>
      </c>
      <c r="S120" s="177">
        <f t="shared" si="22"/>
        <v>9.169083333333333</v>
      </c>
    </row>
    <row r="121" spans="1:19">
      <c r="A121" s="1">
        <f t="shared" si="17"/>
        <v>115</v>
      </c>
      <c r="B121" s="79" t="s">
        <v>77</v>
      </c>
      <c r="C121" s="79" t="s">
        <v>19</v>
      </c>
      <c r="D121" s="80">
        <v>55</v>
      </c>
      <c r="E121" s="80"/>
      <c r="F121" s="116">
        <f>[2]МКД!$H$60</f>
        <v>12</v>
      </c>
      <c r="G121" s="81">
        <f t="shared" si="18"/>
        <v>117.11</v>
      </c>
      <c r="H121" s="85">
        <f>50.32+54.96</f>
        <v>105.28</v>
      </c>
      <c r="I121" s="82">
        <f>1.9+9.93</f>
        <v>11.83</v>
      </c>
      <c r="J121" s="83">
        <f t="shared" si="19"/>
        <v>138.22</v>
      </c>
      <c r="K121" s="82">
        <f>50.32+73.96</f>
        <v>124.28</v>
      </c>
      <c r="L121" s="82">
        <f>2.58+11.36</f>
        <v>13.94</v>
      </c>
      <c r="M121" s="81">
        <f t="shared" si="20"/>
        <v>129.28</v>
      </c>
      <c r="N121" s="82">
        <f>50.32+66.49</f>
        <v>116.81</v>
      </c>
      <c r="O121" s="84">
        <f>2.58+9.89</f>
        <v>12.47</v>
      </c>
      <c r="P121" s="119">
        <f t="shared" si="21"/>
        <v>100.00800000000001</v>
      </c>
      <c r="Q121" s="126">
        <f>44.886+50.45</f>
        <v>95.336000000000013</v>
      </c>
      <c r="R121" s="129">
        <f>-2.848+7.52</f>
        <v>4.6719999999999997</v>
      </c>
      <c r="S121" s="177">
        <f t="shared" si="22"/>
        <v>8.3340000000000014</v>
      </c>
    </row>
    <row r="122" spans="1:19">
      <c r="A122" s="1">
        <f t="shared" si="17"/>
        <v>116</v>
      </c>
      <c r="B122" s="79" t="s">
        <v>77</v>
      </c>
      <c r="C122" s="79" t="s">
        <v>83</v>
      </c>
      <c r="D122" s="80">
        <v>43</v>
      </c>
      <c r="E122" s="80" t="s">
        <v>20</v>
      </c>
      <c r="F122" s="116">
        <f>[2]МКД!$H$17</f>
        <v>12</v>
      </c>
      <c r="G122" s="81">
        <f t="shared" si="18"/>
        <v>71.810299999999998</v>
      </c>
      <c r="H122" s="82">
        <f>60352.54/1000</f>
        <v>60.352539999999998</v>
      </c>
      <c r="I122" s="82">
        <f>11457.76/1000</f>
        <v>11.45776</v>
      </c>
      <c r="J122" s="83">
        <f t="shared" si="19"/>
        <v>87.301389999999998</v>
      </c>
      <c r="K122" s="82">
        <f>66687.63/1000</f>
        <v>66.687629999999999</v>
      </c>
      <c r="L122" s="82">
        <f>20613.76/1000</f>
        <v>20.613759999999999</v>
      </c>
      <c r="M122" s="81">
        <f t="shared" si="20"/>
        <v>93.28085999999999</v>
      </c>
      <c r="N122" s="82">
        <f>71225.29/1000</f>
        <v>71.225289999999987</v>
      </c>
      <c r="O122" s="84">
        <f>22055.57/1000</f>
        <v>22.055569999999999</v>
      </c>
      <c r="P122" s="119">
        <f t="shared" si="21"/>
        <v>99.789999999999992</v>
      </c>
      <c r="Q122" s="126">
        <v>70.852999999999994</v>
      </c>
      <c r="R122" s="129">
        <v>28.937000000000001</v>
      </c>
      <c r="S122" s="177">
        <f t="shared" si="22"/>
        <v>8.3158333333333321</v>
      </c>
    </row>
    <row r="123" spans="1:19">
      <c r="A123" s="1">
        <f t="shared" si="17"/>
        <v>117</v>
      </c>
      <c r="B123" s="79" t="s">
        <v>77</v>
      </c>
      <c r="C123" s="178" t="s">
        <v>79</v>
      </c>
      <c r="D123" s="140">
        <v>52</v>
      </c>
      <c r="E123" s="140"/>
      <c r="F123" s="75">
        <f>[1]МКД!$H$56</f>
        <v>12</v>
      </c>
      <c r="G123" s="148">
        <f t="shared" si="18"/>
        <v>58.06</v>
      </c>
      <c r="H123" s="184">
        <v>40.26</v>
      </c>
      <c r="I123" s="188">
        <v>17.8</v>
      </c>
      <c r="J123" s="149">
        <f t="shared" si="19"/>
        <v>91.21</v>
      </c>
      <c r="K123" s="184">
        <v>63.15</v>
      </c>
      <c r="L123" s="188">
        <v>28.06</v>
      </c>
      <c r="M123" s="148">
        <f t="shared" si="20"/>
        <v>102.61999999999999</v>
      </c>
      <c r="N123" s="184">
        <v>71.209999999999994</v>
      </c>
      <c r="O123" s="190">
        <v>31.41</v>
      </c>
      <c r="P123" s="150">
        <f t="shared" si="21"/>
        <v>93.66</v>
      </c>
      <c r="Q123" s="186">
        <v>65.62</v>
      </c>
      <c r="R123" s="194">
        <v>28.04</v>
      </c>
      <c r="S123" s="151">
        <f t="shared" si="22"/>
        <v>7.8049999999999997</v>
      </c>
    </row>
    <row r="124" spans="1:19">
      <c r="A124" s="1">
        <f t="shared" si="17"/>
        <v>118</v>
      </c>
      <c r="B124" s="79" t="s">
        <v>77</v>
      </c>
      <c r="C124" s="79" t="s">
        <v>37</v>
      </c>
      <c r="D124" s="80">
        <v>7</v>
      </c>
      <c r="E124" s="80"/>
      <c r="F124" s="116">
        <f>[3]МКД!$H$77</f>
        <v>4</v>
      </c>
      <c r="G124" s="81">
        <f t="shared" si="18"/>
        <v>61.063540000000003</v>
      </c>
      <c r="H124" s="85">
        <f>26457.88/1000</f>
        <v>26.457879999999999</v>
      </c>
      <c r="I124" s="82">
        <f>34605.66/1000</f>
        <v>34.60566</v>
      </c>
      <c r="J124" s="83">
        <f t="shared" si="19"/>
        <v>121.54562</v>
      </c>
      <c r="K124" s="82">
        <f>51097.96/1000</f>
        <v>51.09796</v>
      </c>
      <c r="L124" s="82">
        <f>70447.66/1000</f>
        <v>70.447659999999999</v>
      </c>
      <c r="M124" s="81">
        <f t="shared" si="20"/>
        <v>123.35400000000001</v>
      </c>
      <c r="N124" s="82">
        <f>57275.81/1000</f>
        <v>57.27581</v>
      </c>
      <c r="O124" s="84">
        <f>66078.19/1000</f>
        <v>66.078190000000006</v>
      </c>
      <c r="P124" s="119">
        <f t="shared" si="21"/>
        <v>91.533999999999992</v>
      </c>
      <c r="Q124" s="126">
        <v>28.783000000000001</v>
      </c>
      <c r="R124" s="129">
        <v>62.750999999999998</v>
      </c>
      <c r="S124" s="177">
        <f t="shared" si="22"/>
        <v>22.883499999999998</v>
      </c>
    </row>
    <row r="125" spans="1:19">
      <c r="A125" s="1">
        <f t="shared" si="17"/>
        <v>119</v>
      </c>
      <c r="B125" s="79" t="s">
        <v>77</v>
      </c>
      <c r="C125" s="79" t="s">
        <v>96</v>
      </c>
      <c r="D125" s="80">
        <v>7</v>
      </c>
      <c r="E125" s="80"/>
      <c r="F125" s="116">
        <f>[3]МКД!$H$136</f>
        <v>12</v>
      </c>
      <c r="G125" s="81">
        <f t="shared" si="18"/>
        <v>32.128050000000002</v>
      </c>
      <c r="H125" s="85">
        <f>23460.2/1000</f>
        <v>23.4602</v>
      </c>
      <c r="I125" s="82">
        <f>8667.85/1000</f>
        <v>8.6678499999999996</v>
      </c>
      <c r="J125" s="83">
        <f t="shared" si="19"/>
        <v>78.304940000000002</v>
      </c>
      <c r="K125" s="82">
        <f>51634.85/1000</f>
        <v>51.63485</v>
      </c>
      <c r="L125" s="82">
        <f>26670.09/1000</f>
        <v>26.670090000000002</v>
      </c>
      <c r="M125" s="81">
        <f t="shared" si="20"/>
        <v>87.367170000000002</v>
      </c>
      <c r="N125" s="82">
        <f>57726.01/1000</f>
        <v>57.726010000000002</v>
      </c>
      <c r="O125" s="84">
        <f>29641.16/1000</f>
        <v>29.641159999999999</v>
      </c>
      <c r="P125" s="119">
        <f t="shared" si="21"/>
        <v>85.915999999999997</v>
      </c>
      <c r="Q125" s="126">
        <v>51.290999999999997</v>
      </c>
      <c r="R125" s="129">
        <v>34.625</v>
      </c>
      <c r="S125" s="177">
        <f t="shared" si="22"/>
        <v>7.1596666666666664</v>
      </c>
    </row>
    <row r="126" spans="1:19">
      <c r="A126" s="1">
        <f t="shared" si="17"/>
        <v>120</v>
      </c>
      <c r="B126" s="79" t="s">
        <v>77</v>
      </c>
      <c r="C126" s="79" t="s">
        <v>55</v>
      </c>
      <c r="D126" s="80">
        <v>2</v>
      </c>
      <c r="E126" s="80"/>
      <c r="F126" s="131">
        <f>[3]МКД!$H$70</f>
        <v>12</v>
      </c>
      <c r="G126" s="81">
        <f t="shared" si="18"/>
        <v>68.190150000000003</v>
      </c>
      <c r="H126" s="85">
        <f>50189.73/1000</f>
        <v>50.189730000000004</v>
      </c>
      <c r="I126" s="82">
        <f>18000.42/1000</f>
        <v>18.000419999999998</v>
      </c>
      <c r="J126" s="83">
        <f t="shared" si="19"/>
        <v>81.333640000000003</v>
      </c>
      <c r="K126" s="82">
        <f>61514.48/1000</f>
        <v>61.514480000000006</v>
      </c>
      <c r="L126" s="82">
        <f>19819.16/1000</f>
        <v>19.81916</v>
      </c>
      <c r="M126" s="81">
        <f t="shared" si="20"/>
        <v>84.135689999999997</v>
      </c>
      <c r="N126" s="82">
        <f>65144.95/1000</f>
        <v>65.144949999999994</v>
      </c>
      <c r="O126" s="84">
        <f>18990.74/1000</f>
        <v>18.990740000000002</v>
      </c>
      <c r="P126" s="119">
        <f t="shared" si="21"/>
        <v>85.198000000000008</v>
      </c>
      <c r="Q126" s="126">
        <v>63.314</v>
      </c>
      <c r="R126" s="129">
        <v>21.884</v>
      </c>
      <c r="S126" s="177">
        <f t="shared" si="22"/>
        <v>7.0998333333333337</v>
      </c>
    </row>
    <row r="127" spans="1:19">
      <c r="A127" s="1">
        <f t="shared" si="17"/>
        <v>121</v>
      </c>
      <c r="B127" s="79" t="s">
        <v>77</v>
      </c>
      <c r="C127" s="79" t="s">
        <v>99</v>
      </c>
      <c r="D127" s="80">
        <v>45</v>
      </c>
      <c r="E127" s="80"/>
      <c r="F127" s="116">
        <f>[1]МКД!$H$256</f>
        <v>12</v>
      </c>
      <c r="G127" s="81">
        <f t="shared" si="18"/>
        <v>0</v>
      </c>
      <c r="H127" s="85">
        <v>0</v>
      </c>
      <c r="I127" s="82"/>
      <c r="J127" s="83">
        <f t="shared" si="19"/>
        <v>104.97013</v>
      </c>
      <c r="K127" s="82">
        <f>95966.02/1000</f>
        <v>95.96602</v>
      </c>
      <c r="L127" s="82">
        <f>9004.11/1000</f>
        <v>9.0041100000000007</v>
      </c>
      <c r="M127" s="81">
        <f t="shared" si="20"/>
        <v>71.197890000000001</v>
      </c>
      <c r="N127" s="82">
        <f>63161.61/1000</f>
        <v>63.161610000000003</v>
      </c>
      <c r="O127" s="84">
        <f>8036.28/1000</f>
        <v>8.0362799999999996</v>
      </c>
      <c r="P127" s="119">
        <f t="shared" si="21"/>
        <v>82.385999999999996</v>
      </c>
      <c r="Q127" s="126">
        <v>73.600999999999999</v>
      </c>
      <c r="R127" s="129">
        <v>8.7850000000000001</v>
      </c>
      <c r="S127" s="177">
        <f t="shared" si="22"/>
        <v>6.8654999999999999</v>
      </c>
    </row>
    <row r="128" spans="1:19">
      <c r="A128" s="1">
        <f t="shared" si="17"/>
        <v>122</v>
      </c>
      <c r="B128" s="79" t="s">
        <v>77</v>
      </c>
      <c r="C128" s="79" t="s">
        <v>35</v>
      </c>
      <c r="D128" s="80">
        <v>21</v>
      </c>
      <c r="E128" s="80"/>
      <c r="F128" s="116">
        <f>[2]МКД!$H$35</f>
        <v>8</v>
      </c>
      <c r="G128" s="81">
        <f t="shared" si="18"/>
        <v>61.515160000000002</v>
      </c>
      <c r="H128" s="85">
        <f>19968.19/1000</f>
        <v>19.96819</v>
      </c>
      <c r="I128" s="82">
        <f>41546.97/1000</f>
        <v>41.546970000000002</v>
      </c>
      <c r="J128" s="83">
        <f t="shared" si="19"/>
        <v>150.70723000000001</v>
      </c>
      <c r="K128" s="82">
        <f>36787.45/1000</f>
        <v>36.78745</v>
      </c>
      <c r="L128" s="82">
        <f>113919.78/1000</f>
        <v>113.91978</v>
      </c>
      <c r="M128" s="81">
        <f t="shared" si="20"/>
        <v>84.874890000000008</v>
      </c>
      <c r="N128" s="82">
        <f>22439.7/1000</f>
        <v>22.439700000000002</v>
      </c>
      <c r="O128" s="84">
        <f>62435.19/1000</f>
        <v>62.435190000000006</v>
      </c>
      <c r="P128" s="119">
        <f t="shared" si="21"/>
        <v>82.001000000000005</v>
      </c>
      <c r="Q128" s="126">
        <v>20.335999999999999</v>
      </c>
      <c r="R128" s="129">
        <v>61.664999999999999</v>
      </c>
      <c r="S128" s="177">
        <f t="shared" si="22"/>
        <v>10.250125000000001</v>
      </c>
    </row>
    <row r="129" spans="1:19">
      <c r="A129" s="1">
        <f t="shared" si="17"/>
        <v>123</v>
      </c>
      <c r="B129" s="79" t="s">
        <v>77</v>
      </c>
      <c r="C129" s="79" t="s">
        <v>93</v>
      </c>
      <c r="D129" s="80">
        <v>4</v>
      </c>
      <c r="E129" s="80"/>
      <c r="F129" s="116">
        <f>[1]МКД!$H$245</f>
        <v>12</v>
      </c>
      <c r="G129" s="81">
        <f t="shared" si="18"/>
        <v>0</v>
      </c>
      <c r="H129" s="85">
        <v>0</v>
      </c>
      <c r="I129" s="82"/>
      <c r="J129" s="83">
        <f t="shared" si="19"/>
        <v>90.861460000000008</v>
      </c>
      <c r="K129" s="82">
        <f>78395.6/1000</f>
        <v>78.395600000000002</v>
      </c>
      <c r="L129" s="82">
        <f>12465.86/1000</f>
        <v>12.465860000000001</v>
      </c>
      <c r="M129" s="81">
        <f t="shared" si="20"/>
        <v>115.19194</v>
      </c>
      <c r="N129" s="82">
        <f>97960.3/1000</f>
        <v>97.960300000000004</v>
      </c>
      <c r="O129" s="84">
        <f>17231.64/1000</f>
        <v>17.231639999999999</v>
      </c>
      <c r="P129" s="119">
        <f t="shared" si="21"/>
        <v>77.599999999999994</v>
      </c>
      <c r="Q129" s="126">
        <v>62.33</v>
      </c>
      <c r="R129" s="129">
        <v>15.27</v>
      </c>
      <c r="S129" s="177">
        <f t="shared" si="22"/>
        <v>6.4666666666666659</v>
      </c>
    </row>
    <row r="130" spans="1:19">
      <c r="A130" s="1">
        <f t="shared" si="17"/>
        <v>124</v>
      </c>
      <c r="B130" s="79" t="s">
        <v>77</v>
      </c>
      <c r="C130" s="79" t="s">
        <v>92</v>
      </c>
      <c r="D130" s="80">
        <v>20</v>
      </c>
      <c r="E130" s="80"/>
      <c r="F130" s="116">
        <f>[3]МКД!$H$108</f>
        <v>12</v>
      </c>
      <c r="G130" s="81">
        <f t="shared" si="18"/>
        <v>96.853189999999998</v>
      </c>
      <c r="H130" s="85">
        <f>33798.39/1000</f>
        <v>33.798389999999998</v>
      </c>
      <c r="I130" s="82">
        <f>63054.8/1000</f>
        <v>63.0548</v>
      </c>
      <c r="J130" s="83">
        <f t="shared" si="19"/>
        <v>99.490700000000004</v>
      </c>
      <c r="K130" s="82">
        <f>41658.69/1000</f>
        <v>41.65869</v>
      </c>
      <c r="L130" s="82">
        <f>57832.01/1000</f>
        <v>57.832010000000004</v>
      </c>
      <c r="M130" s="81">
        <f t="shared" si="20"/>
        <v>60.822009999999992</v>
      </c>
      <c r="N130" s="82">
        <f>34750.99/1000</f>
        <v>34.750989999999994</v>
      </c>
      <c r="O130" s="84">
        <f>26071.02/1000</f>
        <v>26.071020000000001</v>
      </c>
      <c r="P130" s="119">
        <f t="shared" si="21"/>
        <v>76.745000000000005</v>
      </c>
      <c r="Q130" s="126">
        <v>30.530999999999999</v>
      </c>
      <c r="R130" s="129">
        <v>46.213999999999999</v>
      </c>
      <c r="S130" s="177">
        <f t="shared" si="22"/>
        <v>6.3954166666666667</v>
      </c>
    </row>
    <row r="131" spans="1:19">
      <c r="A131" s="1">
        <f t="shared" si="17"/>
        <v>125</v>
      </c>
      <c r="B131" s="79" t="s">
        <v>77</v>
      </c>
      <c r="C131" s="79" t="s">
        <v>55</v>
      </c>
      <c r="D131" s="80">
        <v>10</v>
      </c>
      <c r="E131" s="80" t="s">
        <v>21</v>
      </c>
      <c r="F131" s="116">
        <f>[3]МКД!$H$74</f>
        <v>8</v>
      </c>
      <c r="G131" s="81">
        <f t="shared" si="18"/>
        <v>113.91</v>
      </c>
      <c r="H131" s="85">
        <f>19.62+27.56</f>
        <v>47.18</v>
      </c>
      <c r="I131" s="82">
        <f>3.34+63.39</f>
        <v>66.73</v>
      </c>
      <c r="J131" s="83">
        <f t="shared" si="19"/>
        <v>134.36000000000001</v>
      </c>
      <c r="K131" s="183">
        <f>19.62+34.54</f>
        <v>54.16</v>
      </c>
      <c r="L131" s="82">
        <f>3.34+76.86</f>
        <v>80.2</v>
      </c>
      <c r="M131" s="81">
        <f t="shared" si="20"/>
        <v>133.35000000000002</v>
      </c>
      <c r="N131" s="82">
        <f>19.62+40.14</f>
        <v>59.760000000000005</v>
      </c>
      <c r="O131" s="84">
        <f>3.34+70.25</f>
        <v>73.59</v>
      </c>
      <c r="P131" s="119">
        <f t="shared" si="21"/>
        <v>72.39</v>
      </c>
      <c r="Q131" s="126">
        <f>21.365+20.93</f>
        <v>42.295000000000002</v>
      </c>
      <c r="R131" s="129">
        <f>5.685+24.41</f>
        <v>30.094999999999999</v>
      </c>
      <c r="S131" s="177">
        <f t="shared" si="22"/>
        <v>9.0487500000000001</v>
      </c>
    </row>
    <row r="132" spans="1:19">
      <c r="A132" s="1">
        <f t="shared" si="17"/>
        <v>126</v>
      </c>
      <c r="B132" s="79" t="s">
        <v>77</v>
      </c>
      <c r="C132" s="79" t="s">
        <v>92</v>
      </c>
      <c r="D132" s="80">
        <v>35</v>
      </c>
      <c r="E132" s="80"/>
      <c r="F132" s="116">
        <f>[3]МКД!$H$116</f>
        <v>12</v>
      </c>
      <c r="G132" s="81">
        <f t="shared" si="18"/>
        <v>82.965509999999995</v>
      </c>
      <c r="H132" s="85">
        <f>25802.32/1000</f>
        <v>25.802319999999998</v>
      </c>
      <c r="I132" s="82">
        <f>57163.19/1000</f>
        <v>57.16319</v>
      </c>
      <c r="J132" s="83">
        <f t="shared" si="19"/>
        <v>90.051079999999985</v>
      </c>
      <c r="K132" s="82">
        <f>38439.63/1000</f>
        <v>38.439629999999994</v>
      </c>
      <c r="L132" s="82">
        <f>51611.45/1000</f>
        <v>51.611449999999998</v>
      </c>
      <c r="M132" s="81">
        <f t="shared" si="20"/>
        <v>53.838139999999996</v>
      </c>
      <c r="N132" s="82">
        <f>30783.27/1000</f>
        <v>30.783270000000002</v>
      </c>
      <c r="O132" s="84">
        <f>23054.87/1000</f>
        <v>23.054869999999998</v>
      </c>
      <c r="P132" s="119">
        <f t="shared" si="21"/>
        <v>71.302999999999997</v>
      </c>
      <c r="Q132" s="126">
        <v>35.915999999999997</v>
      </c>
      <c r="R132" s="129">
        <v>35.387</v>
      </c>
      <c r="S132" s="177">
        <f t="shared" si="22"/>
        <v>5.9419166666666667</v>
      </c>
    </row>
    <row r="133" spans="1:19">
      <c r="A133" s="1">
        <f t="shared" si="17"/>
        <v>127</v>
      </c>
      <c r="B133" s="79" t="s">
        <v>77</v>
      </c>
      <c r="C133" s="79" t="s">
        <v>85</v>
      </c>
      <c r="D133" s="80">
        <v>14</v>
      </c>
      <c r="E133" s="80"/>
      <c r="F133" s="116">
        <f>[1]МКД!$H$235</f>
        <v>8</v>
      </c>
      <c r="G133" s="81">
        <f t="shared" si="18"/>
        <v>0</v>
      </c>
      <c r="H133" s="85">
        <v>0</v>
      </c>
      <c r="I133" s="82"/>
      <c r="J133" s="83">
        <f t="shared" si="19"/>
        <v>53.685859999999998</v>
      </c>
      <c r="K133" s="82">
        <f>52572.52/1000</f>
        <v>52.572519999999997</v>
      </c>
      <c r="L133" s="82">
        <f>1113.34/1000</f>
        <v>1.11334</v>
      </c>
      <c r="M133" s="81">
        <f t="shared" si="20"/>
        <v>60.377600000000001</v>
      </c>
      <c r="N133" s="82">
        <f>59139.86/1000</f>
        <v>59.139859999999999</v>
      </c>
      <c r="O133" s="84">
        <f>1237.74/1000</f>
        <v>1.2377400000000001</v>
      </c>
      <c r="P133" s="119">
        <f t="shared" si="21"/>
        <v>69.674999999999997</v>
      </c>
      <c r="Q133" s="126">
        <v>68.971000000000004</v>
      </c>
      <c r="R133" s="129">
        <v>0.70399999999999996</v>
      </c>
      <c r="S133" s="177">
        <f t="shared" si="22"/>
        <v>8.7093749999999996</v>
      </c>
    </row>
    <row r="134" spans="1:19">
      <c r="A134" s="1">
        <f t="shared" si="17"/>
        <v>128</v>
      </c>
      <c r="B134" s="79" t="s">
        <v>77</v>
      </c>
      <c r="C134" s="79" t="s">
        <v>92</v>
      </c>
      <c r="D134" s="80">
        <v>29</v>
      </c>
      <c r="E134" s="80"/>
      <c r="F134" s="116">
        <f>[3]МКД!$H$113</f>
        <v>18</v>
      </c>
      <c r="G134" s="81">
        <f t="shared" si="18"/>
        <v>132.70940999999999</v>
      </c>
      <c r="H134" s="85">
        <f>48667.99/1000</f>
        <v>48.667989999999996</v>
      </c>
      <c r="I134" s="82">
        <f>84041.42/1000</f>
        <v>84.041420000000002</v>
      </c>
      <c r="J134" s="83">
        <f t="shared" si="19"/>
        <v>162.87979999999999</v>
      </c>
      <c r="K134" s="82">
        <f>57747.76/1000</f>
        <v>57.74776</v>
      </c>
      <c r="L134" s="82">
        <f>105132.04/1000</f>
        <v>105.13203999999999</v>
      </c>
      <c r="M134" s="81">
        <f t="shared" si="20"/>
        <v>103.56371000000001</v>
      </c>
      <c r="N134" s="82">
        <f>56476.48/1000</f>
        <v>56.476480000000002</v>
      </c>
      <c r="O134" s="84">
        <f>47087.23/1000</f>
        <v>47.087230000000005</v>
      </c>
      <c r="P134" s="119">
        <f t="shared" si="21"/>
        <v>69.542000000000002</v>
      </c>
      <c r="Q134" s="126">
        <v>29.411000000000001</v>
      </c>
      <c r="R134" s="129">
        <v>40.131</v>
      </c>
      <c r="S134" s="177">
        <f t="shared" si="22"/>
        <v>3.8634444444444447</v>
      </c>
    </row>
    <row r="135" spans="1:19">
      <c r="A135" s="1">
        <f t="shared" si="17"/>
        <v>129</v>
      </c>
      <c r="B135" s="79" t="s">
        <v>77</v>
      </c>
      <c r="C135" s="79" t="s">
        <v>87</v>
      </c>
      <c r="D135" s="80">
        <v>10</v>
      </c>
      <c r="E135" s="80"/>
      <c r="F135" s="116">
        <f>[2]МКД!$H$41</f>
        <v>12</v>
      </c>
      <c r="G135" s="81">
        <f t="shared" ref="G135:G166" si="23">H135+I135</f>
        <v>106.61571000000001</v>
      </c>
      <c r="H135" s="85">
        <f>47290.48/1000</f>
        <v>47.290480000000002</v>
      </c>
      <c r="I135" s="82">
        <f>59325.23/1000</f>
        <v>59.325230000000005</v>
      </c>
      <c r="J135" s="83">
        <f t="shared" ref="J135:J166" si="24">K135+L135</f>
        <v>78.926230000000004</v>
      </c>
      <c r="K135" s="82">
        <f>43002.43/1000</f>
        <v>43.002429999999997</v>
      </c>
      <c r="L135" s="82">
        <f>35923.8/1000</f>
        <v>35.9238</v>
      </c>
      <c r="M135" s="81">
        <f t="shared" ref="M135:M166" si="25">N135+O135</f>
        <v>86.600549999999998</v>
      </c>
      <c r="N135" s="82">
        <f>63043.93/1000</f>
        <v>63.043930000000003</v>
      </c>
      <c r="O135" s="84">
        <f>23556.62/1000</f>
        <v>23.556619999999999</v>
      </c>
      <c r="P135" s="119">
        <f t="shared" ref="P135:P166" si="26">Q135+R135</f>
        <v>69.35499999999999</v>
      </c>
      <c r="Q135" s="126">
        <v>33.933999999999997</v>
      </c>
      <c r="R135" s="129">
        <v>35.420999999999999</v>
      </c>
      <c r="S135" s="177">
        <f t="shared" ref="S135:S166" si="27">P135/F135</f>
        <v>5.7795833333333322</v>
      </c>
    </row>
    <row r="136" spans="1:19">
      <c r="A136" s="1">
        <f t="shared" si="17"/>
        <v>130</v>
      </c>
      <c r="B136" s="79" t="s">
        <v>77</v>
      </c>
      <c r="C136" s="79" t="s">
        <v>38</v>
      </c>
      <c r="D136" s="80">
        <v>26</v>
      </c>
      <c r="E136" s="80" t="s">
        <v>20</v>
      </c>
      <c r="F136" s="116">
        <f>[3]МКД!$H$101</f>
        <v>12</v>
      </c>
      <c r="G136" s="81">
        <f t="shared" si="23"/>
        <v>78.663029999999992</v>
      </c>
      <c r="H136" s="85">
        <f>64269.02/1000</f>
        <v>64.269019999999998</v>
      </c>
      <c r="I136" s="82">
        <f>14394.01/1000</f>
        <v>14.39401</v>
      </c>
      <c r="J136" s="83">
        <f t="shared" si="24"/>
        <v>44.844120000000004</v>
      </c>
      <c r="K136" s="82">
        <f>40182.66/1000</f>
        <v>40.182660000000006</v>
      </c>
      <c r="L136" s="82">
        <f>4661.46/1000</f>
        <v>4.6614599999999999</v>
      </c>
      <c r="M136" s="81">
        <f t="shared" si="25"/>
        <v>49.124310000000001</v>
      </c>
      <c r="N136" s="82">
        <f>43544.59/1000</f>
        <v>43.544589999999999</v>
      </c>
      <c r="O136" s="84">
        <f>5579.72/1000</f>
        <v>5.57972</v>
      </c>
      <c r="P136" s="119">
        <f t="shared" si="26"/>
        <v>68.739999999999995</v>
      </c>
      <c r="Q136" s="126">
        <v>37.292999999999999</v>
      </c>
      <c r="R136" s="129">
        <v>31.446999999999999</v>
      </c>
      <c r="S136" s="177">
        <f t="shared" si="27"/>
        <v>5.7283333333333326</v>
      </c>
    </row>
    <row r="137" spans="1:19">
      <c r="A137" s="1">
        <f t="shared" si="17"/>
        <v>131</v>
      </c>
      <c r="B137" s="79" t="s">
        <v>77</v>
      </c>
      <c r="C137" s="89" t="s">
        <v>97</v>
      </c>
      <c r="D137" s="90">
        <v>5</v>
      </c>
      <c r="E137" s="91"/>
      <c r="F137" s="116">
        <f>[3]МКД!$H$140</f>
        <v>12</v>
      </c>
      <c r="G137" s="81">
        <f t="shared" si="23"/>
        <v>127.392</v>
      </c>
      <c r="H137" s="187">
        <f>33990.06/1000</f>
        <v>33.99006</v>
      </c>
      <c r="I137" s="189">
        <f>93401.94/1000</f>
        <v>93.401939999999996</v>
      </c>
      <c r="J137" s="83">
        <f t="shared" si="24"/>
        <v>146.73652999999999</v>
      </c>
      <c r="K137" s="82">
        <f>38632.31/1000</f>
        <v>38.632309999999997</v>
      </c>
      <c r="L137" s="82">
        <f>108104.22/1000</f>
        <v>108.10422</v>
      </c>
      <c r="M137" s="81">
        <f t="shared" si="25"/>
        <v>99.547390000000007</v>
      </c>
      <c r="N137" s="82">
        <f>32934.25/1000</f>
        <v>32.934249999999999</v>
      </c>
      <c r="O137" s="84">
        <f>66613.14/1000</f>
        <v>66.613140000000001</v>
      </c>
      <c r="P137" s="119">
        <f t="shared" si="26"/>
        <v>68.638999999999996</v>
      </c>
      <c r="Q137" s="126">
        <v>16.114000000000001</v>
      </c>
      <c r="R137" s="129">
        <v>52.524999999999999</v>
      </c>
      <c r="S137" s="177">
        <f t="shared" si="27"/>
        <v>5.7199166666666663</v>
      </c>
    </row>
    <row r="138" spans="1:19" s="175" customFormat="1">
      <c r="A138" s="1">
        <f t="shared" si="17"/>
        <v>132</v>
      </c>
      <c r="B138" s="69" t="s">
        <v>77</v>
      </c>
      <c r="C138" s="79" t="s">
        <v>85</v>
      </c>
      <c r="D138" s="80">
        <v>4</v>
      </c>
      <c r="E138" s="80"/>
      <c r="F138" s="116">
        <f>[1]МКД!$H$370</f>
        <v>12</v>
      </c>
      <c r="G138" s="81">
        <f t="shared" si="23"/>
        <v>71.119830000000007</v>
      </c>
      <c r="H138" s="185">
        <f>71119.83/1000</f>
        <v>71.119830000000007</v>
      </c>
      <c r="I138" s="183">
        <v>0</v>
      </c>
      <c r="J138" s="83">
        <f t="shared" si="24"/>
        <v>60.519309999999997</v>
      </c>
      <c r="K138" s="183">
        <f>60519.31/1000</f>
        <v>60.519309999999997</v>
      </c>
      <c r="L138" s="183">
        <v>0</v>
      </c>
      <c r="M138" s="81">
        <f t="shared" si="25"/>
        <v>62.809559999999998</v>
      </c>
      <c r="N138" s="183">
        <f>62809.56/1000</f>
        <v>62.809559999999998</v>
      </c>
      <c r="O138" s="183">
        <v>0</v>
      </c>
      <c r="P138" s="119">
        <f t="shared" si="26"/>
        <v>68.134</v>
      </c>
      <c r="Q138" s="191">
        <v>67.533000000000001</v>
      </c>
      <c r="R138" s="193">
        <v>0.60099999999999998</v>
      </c>
      <c r="S138" s="177">
        <f t="shared" si="27"/>
        <v>5.6778333333333331</v>
      </c>
    </row>
    <row r="139" spans="1:19">
      <c r="A139" s="1">
        <f t="shared" si="17"/>
        <v>133</v>
      </c>
      <c r="B139" s="79" t="s">
        <v>77</v>
      </c>
      <c r="C139" s="79" t="s">
        <v>90</v>
      </c>
      <c r="D139" s="80">
        <v>10</v>
      </c>
      <c r="E139" s="80"/>
      <c r="F139" s="116">
        <f>[2]МКД!$H$66</f>
        <v>12</v>
      </c>
      <c r="G139" s="81">
        <f t="shared" si="23"/>
        <v>46.567020000000007</v>
      </c>
      <c r="H139" s="85">
        <f>45979.62/1000</f>
        <v>45.979620000000004</v>
      </c>
      <c r="I139" s="82">
        <f>587.4/1000</f>
        <v>0.58739999999999992</v>
      </c>
      <c r="J139" s="83">
        <f t="shared" si="24"/>
        <v>60.815109999999997</v>
      </c>
      <c r="K139" s="82">
        <f>60090.13/1000</f>
        <v>60.090129999999995</v>
      </c>
      <c r="L139" s="82">
        <f>724.98/1000</f>
        <v>0.72498000000000007</v>
      </c>
      <c r="M139" s="81">
        <f t="shared" si="25"/>
        <v>64.590990000000005</v>
      </c>
      <c r="N139" s="82">
        <f>63832.54/1000</f>
        <v>63.832540000000002</v>
      </c>
      <c r="O139" s="84">
        <f>758.45/1000</f>
        <v>0.75845000000000007</v>
      </c>
      <c r="P139" s="119">
        <f t="shared" si="26"/>
        <v>67.61099999999999</v>
      </c>
      <c r="Q139" s="126">
        <v>48.966999999999999</v>
      </c>
      <c r="R139" s="129">
        <v>18.643999999999998</v>
      </c>
      <c r="S139" s="177">
        <f t="shared" si="27"/>
        <v>5.6342499999999989</v>
      </c>
    </row>
    <row r="140" spans="1:19">
      <c r="A140" s="1">
        <f t="shared" si="17"/>
        <v>134</v>
      </c>
      <c r="B140" s="79" t="s">
        <v>77</v>
      </c>
      <c r="C140" s="79" t="s">
        <v>75</v>
      </c>
      <c r="D140" s="80">
        <v>8</v>
      </c>
      <c r="E140" s="80" t="s">
        <v>20</v>
      </c>
      <c r="F140" s="116">
        <v>12</v>
      </c>
      <c r="G140" s="81">
        <f t="shared" si="23"/>
        <v>87.559139999999999</v>
      </c>
      <c r="H140" s="85">
        <f>81785.5/1000</f>
        <v>81.785499999999999</v>
      </c>
      <c r="I140" s="82">
        <f>5773.64/1000</f>
        <v>5.7736400000000003</v>
      </c>
      <c r="J140" s="83">
        <f t="shared" si="24"/>
        <v>56.978439999999999</v>
      </c>
      <c r="K140" s="82">
        <f>54805.07/1000</f>
        <v>54.805070000000001</v>
      </c>
      <c r="L140" s="82">
        <f>2173.37/1000</f>
        <v>2.1733699999999998</v>
      </c>
      <c r="M140" s="81">
        <f t="shared" si="25"/>
        <v>20.814899999999998</v>
      </c>
      <c r="N140" s="82">
        <f>19209.85/1000</f>
        <v>19.209849999999999</v>
      </c>
      <c r="O140" s="84">
        <f>1605.05/1000</f>
        <v>1.6050499999999999</v>
      </c>
      <c r="P140" s="119">
        <f t="shared" si="26"/>
        <v>66.11</v>
      </c>
      <c r="Q140" s="126">
        <v>31.899000000000001</v>
      </c>
      <c r="R140" s="129">
        <v>34.210999999999999</v>
      </c>
      <c r="S140" s="177">
        <f t="shared" si="27"/>
        <v>5.5091666666666663</v>
      </c>
    </row>
    <row r="141" spans="1:19">
      <c r="A141" s="1">
        <f t="shared" si="17"/>
        <v>135</v>
      </c>
      <c r="B141" s="79" t="s">
        <v>77</v>
      </c>
      <c r="C141" s="79" t="s">
        <v>100</v>
      </c>
      <c r="D141" s="80">
        <v>1</v>
      </c>
      <c r="E141" s="80" t="s">
        <v>20</v>
      </c>
      <c r="F141" s="116">
        <f>[3]МКД!$H$160</f>
        <v>8</v>
      </c>
      <c r="G141" s="81">
        <f t="shared" si="23"/>
        <v>68.244789999999995</v>
      </c>
      <c r="H141" s="85">
        <f>30151.28/1000</f>
        <v>30.15128</v>
      </c>
      <c r="I141" s="82">
        <f>38093.51/1000</f>
        <v>38.093510000000002</v>
      </c>
      <c r="J141" s="83">
        <f t="shared" si="24"/>
        <v>93.157600000000002</v>
      </c>
      <c r="K141" s="82">
        <f>44453.38/1000</f>
        <v>44.453379999999996</v>
      </c>
      <c r="L141" s="82">
        <f>48704.22/1000</f>
        <v>48.704219999999999</v>
      </c>
      <c r="M141" s="81">
        <f t="shared" si="25"/>
        <v>70.231909999999999</v>
      </c>
      <c r="N141" s="82">
        <f>43864.91/1000</f>
        <v>43.864910000000002</v>
      </c>
      <c r="O141" s="84">
        <f>26367/1000</f>
        <v>26.367000000000001</v>
      </c>
      <c r="P141" s="119">
        <f t="shared" si="26"/>
        <v>65.206999999999994</v>
      </c>
      <c r="Q141" s="126">
        <v>28.158000000000001</v>
      </c>
      <c r="R141" s="129">
        <v>37.048999999999999</v>
      </c>
      <c r="S141" s="177">
        <f t="shared" si="27"/>
        <v>8.1508749999999992</v>
      </c>
    </row>
    <row r="142" spans="1:19">
      <c r="A142" s="1">
        <f t="shared" si="17"/>
        <v>136</v>
      </c>
      <c r="B142" s="79" t="s">
        <v>77</v>
      </c>
      <c r="C142" s="79" t="s">
        <v>38</v>
      </c>
      <c r="D142" s="80">
        <v>6</v>
      </c>
      <c r="E142" s="80"/>
      <c r="F142" s="116">
        <f>[1]МКД!$H$242</f>
        <v>12</v>
      </c>
      <c r="G142" s="81">
        <f t="shared" si="23"/>
        <v>14.310879999999999</v>
      </c>
      <c r="H142" s="85">
        <f>14310.88/1000</f>
        <v>14.310879999999999</v>
      </c>
      <c r="I142" s="82">
        <v>0</v>
      </c>
      <c r="J142" s="83">
        <f t="shared" si="24"/>
        <v>71.42710000000001</v>
      </c>
      <c r="K142" s="82">
        <f>71427.1/1000</f>
        <v>71.42710000000001</v>
      </c>
      <c r="L142" s="82">
        <v>0</v>
      </c>
      <c r="M142" s="81">
        <f t="shared" si="25"/>
        <v>77.282179999999997</v>
      </c>
      <c r="N142" s="82">
        <f>77282.18/1000</f>
        <v>77.282179999999997</v>
      </c>
      <c r="O142" s="84">
        <v>0</v>
      </c>
      <c r="P142" s="119">
        <f t="shared" si="26"/>
        <v>65.168000000000006</v>
      </c>
      <c r="Q142" s="126">
        <v>61.886000000000003</v>
      </c>
      <c r="R142" s="129">
        <v>3.282</v>
      </c>
      <c r="S142" s="177">
        <f t="shared" si="27"/>
        <v>5.4306666666666672</v>
      </c>
    </row>
    <row r="143" spans="1:19">
      <c r="A143" s="1">
        <f t="shared" si="17"/>
        <v>137</v>
      </c>
      <c r="B143" s="79" t="s">
        <v>77</v>
      </c>
      <c r="C143" s="79" t="s">
        <v>83</v>
      </c>
      <c r="D143" s="80">
        <v>7</v>
      </c>
      <c r="E143" s="80" t="s">
        <v>20</v>
      </c>
      <c r="F143" s="116">
        <f>[2]МКД!$H$11</f>
        <v>12</v>
      </c>
      <c r="G143" s="81">
        <f t="shared" si="23"/>
        <v>112.54133</v>
      </c>
      <c r="H143" s="82">
        <f>37839.32/1000</f>
        <v>37.839320000000001</v>
      </c>
      <c r="I143" s="82">
        <f>74702.01/1000</f>
        <v>74.702010000000001</v>
      </c>
      <c r="J143" s="83">
        <f t="shared" si="24"/>
        <v>109.78582</v>
      </c>
      <c r="K143" s="82">
        <f>53421.87/1000</f>
        <v>53.421870000000006</v>
      </c>
      <c r="L143" s="82">
        <f>56363.95/1000</f>
        <v>56.363949999999996</v>
      </c>
      <c r="M143" s="81">
        <f t="shared" si="25"/>
        <v>73.132639999999995</v>
      </c>
      <c r="N143" s="82">
        <f>49918.95/1000</f>
        <v>49.918949999999995</v>
      </c>
      <c r="O143" s="84">
        <f>23213.69/1000</f>
        <v>23.21369</v>
      </c>
      <c r="P143" s="119">
        <f t="shared" si="26"/>
        <v>64.623999999999995</v>
      </c>
      <c r="Q143" s="126">
        <v>32.432000000000002</v>
      </c>
      <c r="R143" s="129">
        <v>32.192</v>
      </c>
      <c r="S143" s="177">
        <f t="shared" si="27"/>
        <v>5.3853333333333326</v>
      </c>
    </row>
    <row r="144" spans="1:19">
      <c r="A144" s="1">
        <f t="shared" si="17"/>
        <v>138</v>
      </c>
      <c r="B144" s="79" t="s">
        <v>77</v>
      </c>
      <c r="C144" s="79" t="s">
        <v>94</v>
      </c>
      <c r="D144" s="80">
        <v>3</v>
      </c>
      <c r="E144" s="80"/>
      <c r="F144" s="116">
        <f>[1]МКД!$H$246</f>
        <v>8</v>
      </c>
      <c r="G144" s="81">
        <f t="shared" si="23"/>
        <v>0</v>
      </c>
      <c r="H144" s="85">
        <v>0</v>
      </c>
      <c r="I144" s="82"/>
      <c r="J144" s="83">
        <f t="shared" si="24"/>
        <v>62.019759999999998</v>
      </c>
      <c r="K144" s="82">
        <f>60276.34/1000</f>
        <v>60.276339999999998</v>
      </c>
      <c r="L144" s="82">
        <f>1743.42/1000</f>
        <v>1.74342</v>
      </c>
      <c r="M144" s="81">
        <f t="shared" si="25"/>
        <v>68.771589999999989</v>
      </c>
      <c r="N144" s="82">
        <f>67117.59/1000</f>
        <v>67.117589999999993</v>
      </c>
      <c r="O144" s="84">
        <f>1654/1000</f>
        <v>1.6539999999999999</v>
      </c>
      <c r="P144" s="119">
        <f t="shared" si="26"/>
        <v>64.435000000000002</v>
      </c>
      <c r="Q144" s="126">
        <v>66.415000000000006</v>
      </c>
      <c r="R144" s="129">
        <v>-1.98</v>
      </c>
      <c r="S144" s="177">
        <f t="shared" si="27"/>
        <v>8.0543750000000003</v>
      </c>
    </row>
    <row r="145" spans="1:19">
      <c r="A145" s="1">
        <f t="shared" si="17"/>
        <v>139</v>
      </c>
      <c r="B145" s="79" t="s">
        <v>77</v>
      </c>
      <c r="C145" s="79" t="s">
        <v>98</v>
      </c>
      <c r="D145" s="80">
        <v>36</v>
      </c>
      <c r="E145" s="80" t="s">
        <v>20</v>
      </c>
      <c r="F145" s="116">
        <f>[3]МКД!$H$145</f>
        <v>12</v>
      </c>
      <c r="G145" s="81">
        <f t="shared" si="23"/>
        <v>35.705129999999997</v>
      </c>
      <c r="H145" s="85">
        <f>34625.36/1000</f>
        <v>34.625360000000001</v>
      </c>
      <c r="I145" s="82">
        <f>1079.77/1000</f>
        <v>1.0797699999999999</v>
      </c>
      <c r="J145" s="83">
        <f t="shared" si="24"/>
        <v>55.792569999999998</v>
      </c>
      <c r="K145" s="82">
        <f>53594.5/1000</f>
        <v>53.594499999999996</v>
      </c>
      <c r="L145" s="82">
        <f>2198.07/1000</f>
        <v>2.19807</v>
      </c>
      <c r="M145" s="81">
        <f t="shared" si="25"/>
        <v>57.463690000000007</v>
      </c>
      <c r="N145" s="82">
        <f>55400.94/1000</f>
        <v>55.400940000000006</v>
      </c>
      <c r="O145" s="84">
        <f>2062.75/1000</f>
        <v>2.0627499999999999</v>
      </c>
      <c r="P145" s="119">
        <f t="shared" si="26"/>
        <v>62.085999999999999</v>
      </c>
      <c r="Q145" s="126">
        <v>54.491</v>
      </c>
      <c r="R145" s="129">
        <v>7.5949999999999998</v>
      </c>
      <c r="S145" s="177">
        <f t="shared" si="27"/>
        <v>5.1738333333333335</v>
      </c>
    </row>
    <row r="146" spans="1:19">
      <c r="A146" s="1">
        <f t="shared" ref="A146:A185" si="28">A145+1</f>
        <v>140</v>
      </c>
      <c r="B146" s="79" t="s">
        <v>77</v>
      </c>
      <c r="C146" s="79" t="s">
        <v>74</v>
      </c>
      <c r="D146" s="80">
        <v>15</v>
      </c>
      <c r="E146" s="80"/>
      <c r="F146" s="116">
        <f>[3]МКД!$H$91</f>
        <v>12</v>
      </c>
      <c r="G146" s="81">
        <f t="shared" si="23"/>
        <v>74.868090000000009</v>
      </c>
      <c r="H146" s="85">
        <f>25619.68/1000</f>
        <v>25.619679999999999</v>
      </c>
      <c r="I146" s="82">
        <f>49248.41/1000</f>
        <v>49.248410000000007</v>
      </c>
      <c r="J146" s="83">
        <f t="shared" si="24"/>
        <v>88.581450000000004</v>
      </c>
      <c r="K146" s="82">
        <f>29078.13/1000</f>
        <v>29.078130000000002</v>
      </c>
      <c r="L146" s="82">
        <f>59503.32/1000</f>
        <v>59.503320000000002</v>
      </c>
      <c r="M146" s="81">
        <f t="shared" si="25"/>
        <v>51.258749999999999</v>
      </c>
      <c r="N146" s="82">
        <f>29046.52/1000</f>
        <v>29.046520000000001</v>
      </c>
      <c r="O146" s="84">
        <f>22212.23/1000</f>
        <v>22.212229999999998</v>
      </c>
      <c r="P146" s="119">
        <f t="shared" si="26"/>
        <v>61.790999999999997</v>
      </c>
      <c r="Q146" s="126">
        <v>32.789000000000001</v>
      </c>
      <c r="R146" s="129">
        <v>29.001999999999999</v>
      </c>
      <c r="S146" s="177">
        <f t="shared" si="27"/>
        <v>5.1492499999999994</v>
      </c>
    </row>
    <row r="147" spans="1:19">
      <c r="A147" s="1">
        <f t="shared" si="28"/>
        <v>141</v>
      </c>
      <c r="B147" s="79" t="s">
        <v>77</v>
      </c>
      <c r="C147" s="79" t="s">
        <v>99</v>
      </c>
      <c r="D147" s="80">
        <v>43</v>
      </c>
      <c r="E147" s="80" t="s">
        <v>21</v>
      </c>
      <c r="F147" s="116">
        <f>[3]МКД!$H$156</f>
        <v>12</v>
      </c>
      <c r="G147" s="81">
        <f t="shared" si="23"/>
        <v>97.291240000000002</v>
      </c>
      <c r="H147" s="85">
        <f>39967.99/1000</f>
        <v>39.96799</v>
      </c>
      <c r="I147" s="82">
        <f>57323.25/1000</f>
        <v>57.323250000000002</v>
      </c>
      <c r="J147" s="83">
        <f t="shared" si="24"/>
        <v>83.12724</v>
      </c>
      <c r="K147" s="82">
        <f>37847.42/1000</f>
        <v>37.84742</v>
      </c>
      <c r="L147" s="82">
        <f>45279.82/1000</f>
        <v>45.279820000000001</v>
      </c>
      <c r="M147" s="81">
        <f t="shared" si="25"/>
        <v>53.057949999999998</v>
      </c>
      <c r="N147" s="82">
        <f>41710.1/1000</f>
        <v>41.710099999999997</v>
      </c>
      <c r="O147" s="84">
        <f>11347.85/1000</f>
        <v>11.347850000000001</v>
      </c>
      <c r="P147" s="119">
        <f t="shared" si="26"/>
        <v>61.786000000000001</v>
      </c>
      <c r="Q147" s="126">
        <v>34.293999999999997</v>
      </c>
      <c r="R147" s="129">
        <v>27.492000000000001</v>
      </c>
      <c r="S147" s="177">
        <f t="shared" si="27"/>
        <v>5.1488333333333332</v>
      </c>
    </row>
    <row r="148" spans="1:19">
      <c r="A148" s="1">
        <f t="shared" si="28"/>
        <v>142</v>
      </c>
      <c r="B148" s="79" t="s">
        <v>77</v>
      </c>
      <c r="C148" s="79" t="s">
        <v>87</v>
      </c>
      <c r="D148" s="80">
        <v>13</v>
      </c>
      <c r="E148" s="80"/>
      <c r="F148" s="116">
        <f>[2]МКД!$H$44</f>
        <v>12</v>
      </c>
      <c r="G148" s="81">
        <f t="shared" si="23"/>
        <v>192.86394000000001</v>
      </c>
      <c r="H148" s="85">
        <f>83841.03/1000</f>
        <v>83.841030000000003</v>
      </c>
      <c r="I148" s="82">
        <f>109022.91/1000</f>
        <v>109.02291000000001</v>
      </c>
      <c r="J148" s="83">
        <f t="shared" si="24"/>
        <v>230.02967999999998</v>
      </c>
      <c r="K148" s="82">
        <f>100247.99/1000</f>
        <v>100.24799</v>
      </c>
      <c r="L148" s="82">
        <f>129781.69/1000</f>
        <v>129.78169</v>
      </c>
      <c r="M148" s="81">
        <f t="shared" si="25"/>
        <v>182.89891999999998</v>
      </c>
      <c r="N148" s="82">
        <f>96243.84/1000</f>
        <v>96.243839999999992</v>
      </c>
      <c r="O148" s="84">
        <f>86655.08/1000</f>
        <v>86.655079999999998</v>
      </c>
      <c r="P148" s="119">
        <f t="shared" si="26"/>
        <v>61.096999999999994</v>
      </c>
      <c r="Q148" s="126">
        <v>32.308999999999997</v>
      </c>
      <c r="R148" s="129">
        <v>28.788</v>
      </c>
      <c r="S148" s="177">
        <f t="shared" si="27"/>
        <v>5.0914166666666665</v>
      </c>
    </row>
    <row r="149" spans="1:19">
      <c r="A149" s="1">
        <f t="shared" si="28"/>
        <v>143</v>
      </c>
      <c r="B149" s="79" t="s">
        <v>77</v>
      </c>
      <c r="C149" s="79" t="s">
        <v>37</v>
      </c>
      <c r="D149" s="80">
        <v>9</v>
      </c>
      <c r="E149" s="80"/>
      <c r="F149" s="116">
        <f>[3]МКД!$H$78</f>
        <v>12</v>
      </c>
      <c r="G149" s="81">
        <f t="shared" si="23"/>
        <v>126.39240000000001</v>
      </c>
      <c r="H149" s="85">
        <f>86770.51/1000</f>
        <v>86.770510000000002</v>
      </c>
      <c r="I149" s="82">
        <f>39621.89/1000</f>
        <v>39.62189</v>
      </c>
      <c r="J149" s="83">
        <f t="shared" si="24"/>
        <v>88.368599999999986</v>
      </c>
      <c r="K149" s="82">
        <f>73309.93/1000</f>
        <v>73.309929999999994</v>
      </c>
      <c r="L149" s="82">
        <f>15058.67/1000</f>
        <v>15.058669999999999</v>
      </c>
      <c r="M149" s="81">
        <f t="shared" si="25"/>
        <v>93.45304999999999</v>
      </c>
      <c r="N149" s="82">
        <f>73896.93/1000</f>
        <v>73.896929999999998</v>
      </c>
      <c r="O149" s="84">
        <f>19556.12/1000</f>
        <v>19.55612</v>
      </c>
      <c r="P149" s="119">
        <f t="shared" si="26"/>
        <v>59.007999999999996</v>
      </c>
      <c r="Q149" s="126">
        <v>30.411999999999999</v>
      </c>
      <c r="R149" s="129">
        <v>28.596</v>
      </c>
      <c r="S149" s="177">
        <f t="shared" si="27"/>
        <v>4.9173333333333327</v>
      </c>
    </row>
    <row r="150" spans="1:19">
      <c r="A150" s="1">
        <f t="shared" si="28"/>
        <v>144</v>
      </c>
      <c r="B150" s="79" t="s">
        <v>77</v>
      </c>
      <c r="C150" s="79" t="s">
        <v>86</v>
      </c>
      <c r="D150" s="80">
        <v>4</v>
      </c>
      <c r="E150" s="80"/>
      <c r="F150" s="116">
        <f>[1]МКД!$H$377</f>
        <v>12</v>
      </c>
      <c r="G150" s="81">
        <f t="shared" si="23"/>
        <v>52.024790000000003</v>
      </c>
      <c r="H150" s="85">
        <f>52024.79/1000</f>
        <v>52.024790000000003</v>
      </c>
      <c r="I150" s="82">
        <v>0</v>
      </c>
      <c r="J150" s="83">
        <f t="shared" si="24"/>
        <v>49.998359999999998</v>
      </c>
      <c r="K150" s="82">
        <f>49998.36/1000</f>
        <v>49.998359999999998</v>
      </c>
      <c r="L150" s="82">
        <v>0</v>
      </c>
      <c r="M150" s="81">
        <f t="shared" si="25"/>
        <v>52.662140000000001</v>
      </c>
      <c r="N150" s="82">
        <f>52662.14/1000</f>
        <v>52.662140000000001</v>
      </c>
      <c r="O150" s="84">
        <v>0</v>
      </c>
      <c r="P150" s="119">
        <f t="shared" si="26"/>
        <v>57.567</v>
      </c>
      <c r="Q150" s="126">
        <v>44.253</v>
      </c>
      <c r="R150" s="129">
        <v>13.314</v>
      </c>
      <c r="S150" s="177">
        <f t="shared" si="27"/>
        <v>4.79725</v>
      </c>
    </row>
    <row r="151" spans="1:19">
      <c r="A151" s="1">
        <f t="shared" si="28"/>
        <v>145</v>
      </c>
      <c r="B151" s="79" t="s">
        <v>77</v>
      </c>
      <c r="C151" s="79" t="s">
        <v>100</v>
      </c>
      <c r="D151" s="80">
        <v>5</v>
      </c>
      <c r="E151" s="80"/>
      <c r="F151" s="116">
        <f>[3]МКД!$H$164</f>
        <v>12</v>
      </c>
      <c r="G151" s="81">
        <f t="shared" si="23"/>
        <v>164.87461999999999</v>
      </c>
      <c r="H151" s="82">
        <f>74142.03/1000</f>
        <v>74.142030000000005</v>
      </c>
      <c r="I151" s="82">
        <f>90732.59/1000</f>
        <v>90.732590000000002</v>
      </c>
      <c r="J151" s="83">
        <f t="shared" si="24"/>
        <v>167.95897000000002</v>
      </c>
      <c r="K151" s="82">
        <f>75056.95/1000</f>
        <v>75.056950000000001</v>
      </c>
      <c r="L151" s="82">
        <f>92902.02/1000</f>
        <v>92.902020000000007</v>
      </c>
      <c r="M151" s="81">
        <f t="shared" si="25"/>
        <v>131.93821</v>
      </c>
      <c r="N151" s="82">
        <f>72453.68/1000</f>
        <v>72.453679999999991</v>
      </c>
      <c r="O151" s="84">
        <f>59484.53/1000</f>
        <v>59.484529999999999</v>
      </c>
      <c r="P151" s="119">
        <f t="shared" si="26"/>
        <v>57.277999999999999</v>
      </c>
      <c r="Q151" s="126">
        <v>30.452999999999999</v>
      </c>
      <c r="R151" s="129">
        <v>26.824999999999999</v>
      </c>
      <c r="S151" s="177">
        <f t="shared" si="27"/>
        <v>4.7731666666666666</v>
      </c>
    </row>
    <row r="152" spans="1:19">
      <c r="A152" s="1">
        <f t="shared" si="28"/>
        <v>146</v>
      </c>
      <c r="B152" s="79" t="s">
        <v>77</v>
      </c>
      <c r="C152" s="79" t="s">
        <v>89</v>
      </c>
      <c r="D152" s="80">
        <v>34</v>
      </c>
      <c r="E152" s="80"/>
      <c r="F152" s="116">
        <f>[2]МКД!$H$62</f>
        <v>3</v>
      </c>
      <c r="G152" s="81">
        <f t="shared" si="23"/>
        <v>60.596320000000006</v>
      </c>
      <c r="H152" s="85">
        <f>27286.14/1000</f>
        <v>27.28614</v>
      </c>
      <c r="I152" s="82">
        <f>33310.18/1000</f>
        <v>33.310180000000003</v>
      </c>
      <c r="J152" s="83">
        <f t="shared" si="24"/>
        <v>58.245020000000011</v>
      </c>
      <c r="K152" s="82">
        <f>25185.79/1000</f>
        <v>25.185790000000001</v>
      </c>
      <c r="L152" s="82">
        <f>33059.23/1000</f>
        <v>33.059230000000007</v>
      </c>
      <c r="M152" s="81">
        <f t="shared" si="25"/>
        <v>60.508020000000002</v>
      </c>
      <c r="N152" s="82">
        <f>28976.12/1000</f>
        <v>28.976119999999998</v>
      </c>
      <c r="O152" s="84">
        <f>31531.9/1000</f>
        <v>31.5319</v>
      </c>
      <c r="P152" s="119">
        <f t="shared" si="26"/>
        <v>56.637</v>
      </c>
      <c r="Q152" s="126">
        <v>24.446000000000002</v>
      </c>
      <c r="R152" s="129">
        <v>32.191000000000003</v>
      </c>
      <c r="S152" s="177">
        <f t="shared" si="27"/>
        <v>18.879000000000001</v>
      </c>
    </row>
    <row r="153" spans="1:19">
      <c r="A153" s="1">
        <f t="shared" si="28"/>
        <v>147</v>
      </c>
      <c r="B153" s="79" t="s">
        <v>77</v>
      </c>
      <c r="C153" s="79" t="s">
        <v>38</v>
      </c>
      <c r="D153" s="80">
        <v>20</v>
      </c>
      <c r="E153" s="80"/>
      <c r="F153" s="116">
        <f>[3]МКД!$H$97</f>
        <v>8</v>
      </c>
      <c r="G153" s="81">
        <f t="shared" si="23"/>
        <v>88.876869999999997</v>
      </c>
      <c r="H153" s="85">
        <f>37939.42/1000</f>
        <v>37.939419999999998</v>
      </c>
      <c r="I153" s="82">
        <f>50937.45/1000</f>
        <v>50.937449999999998</v>
      </c>
      <c r="J153" s="83">
        <f t="shared" si="24"/>
        <v>94.328360000000004</v>
      </c>
      <c r="K153" s="82">
        <f>39555.95/1000</f>
        <v>39.555949999999996</v>
      </c>
      <c r="L153" s="82">
        <f>54772.41/1000</f>
        <v>54.772410000000001</v>
      </c>
      <c r="M153" s="81">
        <f t="shared" si="25"/>
        <v>89.077520000000007</v>
      </c>
      <c r="N153" s="82">
        <f>40731.65/1000</f>
        <v>40.731650000000002</v>
      </c>
      <c r="O153" s="84">
        <f>48345.87/1000</f>
        <v>48.345870000000005</v>
      </c>
      <c r="P153" s="119">
        <f t="shared" si="26"/>
        <v>54.84</v>
      </c>
      <c r="Q153" s="126">
        <v>4.0780000000000003</v>
      </c>
      <c r="R153" s="129">
        <v>50.762</v>
      </c>
      <c r="S153" s="177">
        <f t="shared" si="27"/>
        <v>6.8550000000000004</v>
      </c>
    </row>
    <row r="154" spans="1:19">
      <c r="A154" s="1">
        <f t="shared" si="28"/>
        <v>148</v>
      </c>
      <c r="B154" s="79" t="s">
        <v>77</v>
      </c>
      <c r="C154" s="79" t="s">
        <v>92</v>
      </c>
      <c r="D154" s="80">
        <v>19</v>
      </c>
      <c r="E154" s="80"/>
      <c r="F154" s="116">
        <f>[3]МКД!$H$107</f>
        <v>12</v>
      </c>
      <c r="G154" s="81">
        <f t="shared" si="23"/>
        <v>71.00712</v>
      </c>
      <c r="H154" s="85">
        <f>28871.57/1000</f>
        <v>28.871569999999998</v>
      </c>
      <c r="I154" s="82">
        <f>42135.55/1000</f>
        <v>42.135550000000002</v>
      </c>
      <c r="J154" s="83">
        <f t="shared" si="24"/>
        <v>60.56474</v>
      </c>
      <c r="K154" s="82">
        <f>25583.71/1000</f>
        <v>25.58371</v>
      </c>
      <c r="L154" s="82">
        <f>34981.03/1000</f>
        <v>34.981029999999997</v>
      </c>
      <c r="M154" s="81">
        <f t="shared" si="25"/>
        <v>40.545020000000001</v>
      </c>
      <c r="N154" s="82">
        <f>25007.49/1000</f>
        <v>25.007490000000001</v>
      </c>
      <c r="O154" s="84">
        <f>15537.53/1000</f>
        <v>15.53753</v>
      </c>
      <c r="P154" s="119">
        <f t="shared" si="26"/>
        <v>51.261000000000003</v>
      </c>
      <c r="Q154" s="126">
        <v>23.498000000000001</v>
      </c>
      <c r="R154" s="129">
        <v>27.763000000000002</v>
      </c>
      <c r="S154" s="177">
        <f t="shared" si="27"/>
        <v>4.2717499999999999</v>
      </c>
    </row>
    <row r="155" spans="1:19">
      <c r="A155" s="1">
        <f t="shared" si="28"/>
        <v>149</v>
      </c>
      <c r="B155" s="79" t="s">
        <v>77</v>
      </c>
      <c r="C155" s="79" t="s">
        <v>99</v>
      </c>
      <c r="D155" s="80">
        <v>39</v>
      </c>
      <c r="E155" s="80" t="s">
        <v>20</v>
      </c>
      <c r="F155" s="116">
        <f>[3]МКД!$H$153</f>
        <v>16</v>
      </c>
      <c r="G155" s="81">
        <f t="shared" si="23"/>
        <v>130.63346999999999</v>
      </c>
      <c r="H155" s="85">
        <f>59020.39/1000</f>
        <v>59.020389999999999</v>
      </c>
      <c r="I155" s="82">
        <f>71613.08/1000</f>
        <v>71.613079999999997</v>
      </c>
      <c r="J155" s="83">
        <f t="shared" si="24"/>
        <v>92.56917</v>
      </c>
      <c r="K155" s="82">
        <f>50325.78/1000</f>
        <v>50.325780000000002</v>
      </c>
      <c r="L155" s="82">
        <f>42243.39/1000</f>
        <v>42.243389999999998</v>
      </c>
      <c r="M155" s="81">
        <f t="shared" si="25"/>
        <v>86.216319999999996</v>
      </c>
      <c r="N155" s="82">
        <f>56749.68/1000</f>
        <v>56.749679999999998</v>
      </c>
      <c r="O155" s="84">
        <f>29466.64/1000</f>
        <v>29.466639999999998</v>
      </c>
      <c r="P155" s="119">
        <f t="shared" si="26"/>
        <v>50.426000000000002</v>
      </c>
      <c r="Q155" s="126">
        <v>21.042999999999999</v>
      </c>
      <c r="R155" s="129">
        <v>29.382999999999999</v>
      </c>
      <c r="S155" s="177">
        <f t="shared" si="27"/>
        <v>3.1516250000000001</v>
      </c>
    </row>
    <row r="156" spans="1:19">
      <c r="A156" s="1">
        <f t="shared" si="28"/>
        <v>150</v>
      </c>
      <c r="B156" s="79" t="s">
        <v>77</v>
      </c>
      <c r="C156" s="87" t="s">
        <v>38</v>
      </c>
      <c r="D156" s="88">
        <v>25</v>
      </c>
      <c r="E156" s="88"/>
      <c r="F156" s="116">
        <f>[3]МКД!$H$99</f>
        <v>12</v>
      </c>
      <c r="G156" s="81">
        <f t="shared" si="23"/>
        <v>101.69812</v>
      </c>
      <c r="H156" s="85">
        <f>37859.36/1000</f>
        <v>37.859360000000002</v>
      </c>
      <c r="I156" s="82">
        <f>63838.76/1000</f>
        <v>63.838760000000001</v>
      </c>
      <c r="J156" s="83">
        <f t="shared" si="24"/>
        <v>95.979199999999992</v>
      </c>
      <c r="K156" s="82">
        <f>45015.53/1000</f>
        <v>45.015529999999998</v>
      </c>
      <c r="L156" s="82">
        <f>50963.67/1000</f>
        <v>50.96367</v>
      </c>
      <c r="M156" s="81">
        <f t="shared" si="25"/>
        <v>67.161090000000002</v>
      </c>
      <c r="N156" s="82">
        <f>47751.46/1000</f>
        <v>47.751460000000002</v>
      </c>
      <c r="O156" s="84">
        <f>19409.63/1000</f>
        <v>19.40963</v>
      </c>
      <c r="P156" s="119">
        <f t="shared" si="26"/>
        <v>50.192999999999998</v>
      </c>
      <c r="Q156" s="126">
        <v>24.891999999999999</v>
      </c>
      <c r="R156" s="129">
        <v>25.300999999999998</v>
      </c>
      <c r="S156" s="177">
        <f t="shared" si="27"/>
        <v>4.1827499999999995</v>
      </c>
    </row>
    <row r="157" spans="1:19">
      <c r="A157" s="1">
        <f t="shared" si="28"/>
        <v>151</v>
      </c>
      <c r="B157" s="79" t="s">
        <v>77</v>
      </c>
      <c r="C157" s="79" t="s">
        <v>98</v>
      </c>
      <c r="D157" s="80">
        <v>34</v>
      </c>
      <c r="E157" s="80" t="s">
        <v>20</v>
      </c>
      <c r="F157" s="116">
        <f>[3]МКД!$H$144</f>
        <v>12</v>
      </c>
      <c r="G157" s="81">
        <f t="shared" si="23"/>
        <v>82.613919999999993</v>
      </c>
      <c r="H157" s="185">
        <f>31869.08/1000</f>
        <v>31.86908</v>
      </c>
      <c r="I157" s="183">
        <f>50744.84/1000</f>
        <v>50.744839999999996</v>
      </c>
      <c r="J157" s="83">
        <f t="shared" si="24"/>
        <v>80.570830000000001</v>
      </c>
      <c r="K157" s="82">
        <f>42166.16/1000</f>
        <v>42.166160000000005</v>
      </c>
      <c r="L157" s="82">
        <f>38404.67/1000</f>
        <v>38.404669999999996</v>
      </c>
      <c r="M157" s="81">
        <f t="shared" si="25"/>
        <v>39.315770000000001</v>
      </c>
      <c r="N157" s="82">
        <f>34535.65/1000</f>
        <v>34.535650000000004</v>
      </c>
      <c r="O157" s="84">
        <f>4780.12/1000</f>
        <v>4.7801200000000001</v>
      </c>
      <c r="P157" s="119">
        <f t="shared" si="26"/>
        <v>49.192</v>
      </c>
      <c r="Q157" s="126">
        <v>26.149000000000001</v>
      </c>
      <c r="R157" s="129">
        <v>23.042999999999999</v>
      </c>
      <c r="S157" s="177">
        <f t="shared" si="27"/>
        <v>4.0993333333333331</v>
      </c>
    </row>
    <row r="158" spans="1:19">
      <c r="A158" s="1">
        <f t="shared" si="28"/>
        <v>152</v>
      </c>
      <c r="B158" s="79" t="s">
        <v>77</v>
      </c>
      <c r="C158" s="79" t="s">
        <v>83</v>
      </c>
      <c r="D158" s="80">
        <v>47</v>
      </c>
      <c r="E158" s="80" t="s">
        <v>20</v>
      </c>
      <c r="F158" s="116">
        <f>[2]МКД!$H$19</f>
        <v>12</v>
      </c>
      <c r="G158" s="81">
        <f t="shared" si="23"/>
        <v>43.627699999999997</v>
      </c>
      <c r="H158" s="82">
        <f>38755.56/1000</f>
        <v>38.755559999999996</v>
      </c>
      <c r="I158" s="82">
        <f>4872.14/1000</f>
        <v>4.8721399999999999</v>
      </c>
      <c r="J158" s="83">
        <f t="shared" si="24"/>
        <v>39.569720000000004</v>
      </c>
      <c r="K158" s="82">
        <f>35950.83/1000</f>
        <v>35.950830000000003</v>
      </c>
      <c r="L158" s="82">
        <f>3618.89/1000</f>
        <v>3.6188899999999999</v>
      </c>
      <c r="M158" s="81">
        <f t="shared" si="25"/>
        <v>41.872059999999998</v>
      </c>
      <c r="N158" s="82">
        <f>37254.42/1000</f>
        <v>37.254419999999996</v>
      </c>
      <c r="O158" s="84">
        <f>4617.64/1000</f>
        <v>4.6176400000000006</v>
      </c>
      <c r="P158" s="119">
        <f t="shared" si="26"/>
        <v>47.106999999999999</v>
      </c>
      <c r="Q158" s="126">
        <v>30.329000000000001</v>
      </c>
      <c r="R158" s="129">
        <v>16.777999999999999</v>
      </c>
      <c r="S158" s="177">
        <f t="shared" si="27"/>
        <v>3.9255833333333334</v>
      </c>
    </row>
    <row r="159" spans="1:19">
      <c r="A159" s="1">
        <f t="shared" si="28"/>
        <v>153</v>
      </c>
      <c r="B159" s="79" t="s">
        <v>77</v>
      </c>
      <c r="C159" s="89" t="s">
        <v>97</v>
      </c>
      <c r="D159" s="80">
        <v>12</v>
      </c>
      <c r="E159" s="80"/>
      <c r="F159" s="132">
        <f>[3]МКД!$H$141</f>
        <v>4</v>
      </c>
      <c r="G159" s="81">
        <f t="shared" si="23"/>
        <v>67.489199999999997</v>
      </c>
      <c r="H159" s="85">
        <f>15027.37/1000</f>
        <v>15.027370000000001</v>
      </c>
      <c r="I159" s="82">
        <f>52461.83/1000</f>
        <v>52.461829999999999</v>
      </c>
      <c r="J159" s="83">
        <f t="shared" si="24"/>
        <v>78.853449999999995</v>
      </c>
      <c r="K159" s="82">
        <f>20152.6/1000</f>
        <v>20.1526</v>
      </c>
      <c r="L159" s="82">
        <f>58700.85/1000</f>
        <v>58.700849999999996</v>
      </c>
      <c r="M159" s="81">
        <f t="shared" si="25"/>
        <v>69.80277000000001</v>
      </c>
      <c r="N159" s="82">
        <f>17540.41/1000</f>
        <v>17.540410000000001</v>
      </c>
      <c r="O159" s="84">
        <f>52262.36/1000</f>
        <v>52.262360000000001</v>
      </c>
      <c r="P159" s="119">
        <f t="shared" si="26"/>
        <v>46.545999999999999</v>
      </c>
      <c r="Q159" s="126">
        <v>15.026999999999999</v>
      </c>
      <c r="R159" s="129">
        <v>31.518999999999998</v>
      </c>
      <c r="S159" s="177">
        <f t="shared" si="27"/>
        <v>11.6365</v>
      </c>
    </row>
    <row r="160" spans="1:19">
      <c r="A160" s="1">
        <f t="shared" si="28"/>
        <v>154</v>
      </c>
      <c r="B160" s="79" t="s">
        <v>77</v>
      </c>
      <c r="C160" s="79" t="s">
        <v>19</v>
      </c>
      <c r="D160" s="80">
        <v>26</v>
      </c>
      <c r="E160" s="80"/>
      <c r="F160" s="116">
        <f>[2]МКД!$H$48</f>
        <v>12</v>
      </c>
      <c r="G160" s="81">
        <f t="shared" si="23"/>
        <v>175.47638000000001</v>
      </c>
      <c r="H160" s="85">
        <f>83958.92/1000</f>
        <v>83.958919999999992</v>
      </c>
      <c r="I160" s="82">
        <f>91517.46/1000</f>
        <v>91.51746</v>
      </c>
      <c r="J160" s="83">
        <f t="shared" si="24"/>
        <v>157.08433000000002</v>
      </c>
      <c r="K160" s="82">
        <f>81641.19/1000</f>
        <v>81.641190000000009</v>
      </c>
      <c r="L160" s="82">
        <f>75443.14/1000</f>
        <v>75.44314</v>
      </c>
      <c r="M160" s="81">
        <f t="shared" si="25"/>
        <v>96.538239999999988</v>
      </c>
      <c r="N160" s="82">
        <f>72475.17/1000</f>
        <v>72.475169999999991</v>
      </c>
      <c r="O160" s="84">
        <f>24063.07/1000</f>
        <v>24.06307</v>
      </c>
      <c r="P160" s="119">
        <f t="shared" si="26"/>
        <v>46.347999999999999</v>
      </c>
      <c r="Q160" s="126">
        <v>48.037999999999997</v>
      </c>
      <c r="R160" s="129">
        <v>-1.69</v>
      </c>
      <c r="S160" s="177">
        <f t="shared" si="27"/>
        <v>3.8623333333333334</v>
      </c>
    </row>
    <row r="161" spans="1:19">
      <c r="A161" s="1">
        <f t="shared" si="28"/>
        <v>155</v>
      </c>
      <c r="B161" s="79" t="s">
        <v>77</v>
      </c>
      <c r="C161" s="79" t="s">
        <v>99</v>
      </c>
      <c r="D161" s="80">
        <v>45</v>
      </c>
      <c r="E161" s="80" t="s">
        <v>21</v>
      </c>
      <c r="F161" s="116">
        <f>[3]МКД!$H$159</f>
        <v>8</v>
      </c>
      <c r="G161" s="81">
        <f t="shared" si="23"/>
        <v>34.836930000000002</v>
      </c>
      <c r="H161" s="85">
        <f>29071.56/1000</f>
        <v>29.071560000000002</v>
      </c>
      <c r="I161" s="82">
        <f>5765.37/1000</f>
        <v>5.7653699999999999</v>
      </c>
      <c r="J161" s="83">
        <f t="shared" si="24"/>
        <v>31.666980000000002</v>
      </c>
      <c r="K161" s="82">
        <f>26202.49/1000</f>
        <v>26.202490000000001</v>
      </c>
      <c r="L161" s="82">
        <f>5464.49/1000</f>
        <v>5.4644899999999996</v>
      </c>
      <c r="M161" s="81">
        <f t="shared" si="25"/>
        <v>42.609499999999997</v>
      </c>
      <c r="N161" s="82">
        <f>34206.56/1000</f>
        <v>34.206559999999996</v>
      </c>
      <c r="O161" s="84">
        <f>8402.94/1000</f>
        <v>8.402940000000001</v>
      </c>
      <c r="P161" s="119">
        <f t="shared" si="26"/>
        <v>46.293999999999997</v>
      </c>
      <c r="Q161" s="126">
        <v>20.725000000000001</v>
      </c>
      <c r="R161" s="129">
        <v>25.568999999999999</v>
      </c>
      <c r="S161" s="177">
        <f t="shared" si="27"/>
        <v>5.7867499999999996</v>
      </c>
    </row>
    <row r="162" spans="1:19">
      <c r="A162" s="1">
        <f t="shared" si="28"/>
        <v>156</v>
      </c>
      <c r="B162" s="79" t="s">
        <v>77</v>
      </c>
      <c r="C162" s="79" t="s">
        <v>83</v>
      </c>
      <c r="D162" s="80">
        <v>66</v>
      </c>
      <c r="E162" s="80" t="s">
        <v>20</v>
      </c>
      <c r="F162" s="116">
        <f>[1]МКД!$H$231</f>
        <v>2</v>
      </c>
      <c r="G162" s="81">
        <f t="shared" si="23"/>
        <v>0</v>
      </c>
      <c r="H162" s="85">
        <v>0</v>
      </c>
      <c r="I162" s="82"/>
      <c r="J162" s="83">
        <f t="shared" si="24"/>
        <v>37.945889999999999</v>
      </c>
      <c r="K162" s="82">
        <f>37310.09/1000</f>
        <v>37.310089999999995</v>
      </c>
      <c r="L162" s="82">
        <f>635.8/1000</f>
        <v>0.63579999999999992</v>
      </c>
      <c r="M162" s="81">
        <f t="shared" si="25"/>
        <v>40.097340000000003</v>
      </c>
      <c r="N162" s="82">
        <f>39365.25/1000</f>
        <v>39.365250000000003</v>
      </c>
      <c r="O162" s="84">
        <f>732.09/1000</f>
        <v>0.73209000000000002</v>
      </c>
      <c r="P162" s="119">
        <f t="shared" si="26"/>
        <v>46.104999999999997</v>
      </c>
      <c r="Q162" s="126">
        <v>45.253</v>
      </c>
      <c r="R162" s="129">
        <v>0.85199999999999998</v>
      </c>
      <c r="S162" s="177">
        <f t="shared" si="27"/>
        <v>23.052499999999998</v>
      </c>
    </row>
    <row r="163" spans="1:19">
      <c r="A163" s="1">
        <f t="shared" si="28"/>
        <v>157</v>
      </c>
      <c r="B163" s="79" t="s">
        <v>77</v>
      </c>
      <c r="C163" s="79" t="s">
        <v>24</v>
      </c>
      <c r="D163" s="80">
        <v>5</v>
      </c>
      <c r="E163" s="80"/>
      <c r="F163" s="116">
        <f>[2]МКД!$H$27</f>
        <v>8</v>
      </c>
      <c r="G163" s="81">
        <f t="shared" si="23"/>
        <v>70.381360000000001</v>
      </c>
      <c r="H163" s="85">
        <f>18191.39/1000</f>
        <v>18.191389999999998</v>
      </c>
      <c r="I163" s="82">
        <f>52189.97/1000</f>
        <v>52.189970000000002</v>
      </c>
      <c r="J163" s="83">
        <f t="shared" si="24"/>
        <v>49.335340000000002</v>
      </c>
      <c r="K163" s="82">
        <f>20203.51/1000</f>
        <v>20.203509999999998</v>
      </c>
      <c r="L163" s="82">
        <f>29131.83/1000</f>
        <v>29.131830000000001</v>
      </c>
      <c r="M163" s="81">
        <f t="shared" si="25"/>
        <v>31.03801</v>
      </c>
      <c r="N163" s="82">
        <f>18950.95/1000</f>
        <v>18.950950000000002</v>
      </c>
      <c r="O163" s="84">
        <f>12087.06/1000</f>
        <v>12.087059999999999</v>
      </c>
      <c r="P163" s="119">
        <f t="shared" si="26"/>
        <v>45.863</v>
      </c>
      <c r="Q163" s="126">
        <v>22.545000000000002</v>
      </c>
      <c r="R163" s="129">
        <v>23.318000000000001</v>
      </c>
      <c r="S163" s="177">
        <f t="shared" si="27"/>
        <v>5.7328749999999999</v>
      </c>
    </row>
    <row r="164" spans="1:19">
      <c r="A164" s="1">
        <f t="shared" si="28"/>
        <v>158</v>
      </c>
      <c r="B164" s="79" t="s">
        <v>77</v>
      </c>
      <c r="C164" s="79" t="s">
        <v>94</v>
      </c>
      <c r="D164" s="80">
        <v>5</v>
      </c>
      <c r="E164" s="80"/>
      <c r="F164" s="116">
        <f>[3]МКД!$H$128</f>
        <v>12</v>
      </c>
      <c r="G164" s="81">
        <f t="shared" si="23"/>
        <v>29.18338</v>
      </c>
      <c r="H164" s="85">
        <f>28535.1/1000</f>
        <v>28.5351</v>
      </c>
      <c r="I164" s="82">
        <f>648.28/1000</f>
        <v>0.64827999999999997</v>
      </c>
      <c r="J164" s="83">
        <f t="shared" si="24"/>
        <v>31.779720000000001</v>
      </c>
      <c r="K164" s="82">
        <f>31077.66/1000</f>
        <v>31.077660000000002</v>
      </c>
      <c r="L164" s="82">
        <f>702.06/1000</f>
        <v>0.70205999999999991</v>
      </c>
      <c r="M164" s="81">
        <f t="shared" si="25"/>
        <v>33.870330000000003</v>
      </c>
      <c r="N164" s="82">
        <f>33100.37/1000</f>
        <v>33.100370000000005</v>
      </c>
      <c r="O164" s="84">
        <f>769.96/1000</f>
        <v>0.76996000000000009</v>
      </c>
      <c r="P164" s="119">
        <f t="shared" si="26"/>
        <v>43.161999999999999</v>
      </c>
      <c r="Q164" s="126">
        <v>42.164000000000001</v>
      </c>
      <c r="R164" s="129">
        <v>0.998</v>
      </c>
      <c r="S164" s="177">
        <f t="shared" si="27"/>
        <v>3.5968333333333331</v>
      </c>
    </row>
    <row r="165" spans="1:19">
      <c r="A165" s="1">
        <f t="shared" si="28"/>
        <v>159</v>
      </c>
      <c r="B165" s="79" t="s">
        <v>77</v>
      </c>
      <c r="C165" s="79" t="s">
        <v>75</v>
      </c>
      <c r="D165" s="80">
        <v>9</v>
      </c>
      <c r="E165" s="80" t="s">
        <v>20</v>
      </c>
      <c r="F165" s="116">
        <f>[3]МКД!$H$125</f>
        <v>12</v>
      </c>
      <c r="G165" s="81">
        <f t="shared" si="23"/>
        <v>44.194270000000003</v>
      </c>
      <c r="H165" s="85">
        <f>38897.99/1000</f>
        <v>38.89799</v>
      </c>
      <c r="I165" s="82">
        <f>5296.28/1000</f>
        <v>5.2962799999999994</v>
      </c>
      <c r="J165" s="83">
        <f t="shared" si="24"/>
        <v>51.246449999999996</v>
      </c>
      <c r="K165" s="82">
        <f>47926.86/1000</f>
        <v>47.926859999999998</v>
      </c>
      <c r="L165" s="82">
        <f>3319.59/1000</f>
        <v>3.3195900000000003</v>
      </c>
      <c r="M165" s="81">
        <f t="shared" si="25"/>
        <v>51.739580000000004</v>
      </c>
      <c r="N165" s="82">
        <f>48279.35/1000</f>
        <v>48.279350000000001</v>
      </c>
      <c r="O165" s="84">
        <f>3460.23/1000</f>
        <v>3.4602300000000001</v>
      </c>
      <c r="P165" s="119">
        <f t="shared" si="26"/>
        <v>43.136000000000003</v>
      </c>
      <c r="Q165" s="126">
        <v>36.468000000000004</v>
      </c>
      <c r="R165" s="129">
        <v>6.6680000000000001</v>
      </c>
      <c r="S165" s="177">
        <f t="shared" si="27"/>
        <v>3.5946666666666669</v>
      </c>
    </row>
    <row r="166" spans="1:19">
      <c r="A166" s="1">
        <f t="shared" si="28"/>
        <v>160</v>
      </c>
      <c r="B166" s="79" t="s">
        <v>77</v>
      </c>
      <c r="C166" s="178" t="s">
        <v>78</v>
      </c>
      <c r="D166" s="140">
        <v>4</v>
      </c>
      <c r="E166" s="140" t="s">
        <v>20</v>
      </c>
      <c r="F166" s="75">
        <f>[1]МКД!$H$71</f>
        <v>12</v>
      </c>
      <c r="G166" s="148">
        <f t="shared" si="23"/>
        <v>95.789999999999992</v>
      </c>
      <c r="H166" s="184">
        <v>49.97</v>
      </c>
      <c r="I166" s="188">
        <v>45.82</v>
      </c>
      <c r="J166" s="149">
        <f t="shared" si="24"/>
        <v>54.019999999999996</v>
      </c>
      <c r="K166" s="184">
        <v>34.909999999999997</v>
      </c>
      <c r="L166" s="188">
        <v>19.11</v>
      </c>
      <c r="M166" s="148">
        <f t="shared" si="25"/>
        <v>47.379999999999995</v>
      </c>
      <c r="N166" s="184">
        <v>33.979999999999997</v>
      </c>
      <c r="O166" s="190">
        <v>13.4</v>
      </c>
      <c r="P166" s="150">
        <f t="shared" si="26"/>
        <v>41.61</v>
      </c>
      <c r="Q166" s="186">
        <v>32.15</v>
      </c>
      <c r="R166" s="194">
        <v>9.4600000000000009</v>
      </c>
      <c r="S166" s="151">
        <f t="shared" si="27"/>
        <v>3.4674999999999998</v>
      </c>
    </row>
    <row r="167" spans="1:19">
      <c r="A167" s="1">
        <f t="shared" si="28"/>
        <v>161</v>
      </c>
      <c r="B167" s="79" t="s">
        <v>77</v>
      </c>
      <c r="C167" s="79" t="s">
        <v>96</v>
      </c>
      <c r="D167" s="80">
        <v>8</v>
      </c>
      <c r="E167" s="80" t="s">
        <v>20</v>
      </c>
      <c r="F167" s="116">
        <f>[3]МКД!$H$137</f>
        <v>11</v>
      </c>
      <c r="G167" s="81">
        <f t="shared" ref="G167:G185" si="29">H167+I167</f>
        <v>59.264789999999998</v>
      </c>
      <c r="H167" s="85">
        <f>52199.6/1000</f>
        <v>52.199599999999997</v>
      </c>
      <c r="I167" s="82">
        <f>7065.19/1000</f>
        <v>7.0651899999999994</v>
      </c>
      <c r="J167" s="83">
        <f t="shared" ref="J167:J185" si="30">K167+L167</f>
        <v>52.830269999999999</v>
      </c>
      <c r="K167" s="82">
        <f>46175.52/1000</f>
        <v>46.175519999999999</v>
      </c>
      <c r="L167" s="82">
        <f>6654.75/1000</f>
        <v>6.6547499999999999</v>
      </c>
      <c r="M167" s="81">
        <f t="shared" ref="M167:M185" si="31">N167+O167</f>
        <v>61.373280000000001</v>
      </c>
      <c r="N167" s="82">
        <f>53583.23/1000</f>
        <v>53.58323</v>
      </c>
      <c r="O167" s="84">
        <f>7790.05/1000</f>
        <v>7.7900499999999999</v>
      </c>
      <c r="P167" s="119">
        <f t="shared" ref="P167:P185" si="32">Q167+R167</f>
        <v>39.609000000000002</v>
      </c>
      <c r="Q167" s="126">
        <v>25.164999999999999</v>
      </c>
      <c r="R167" s="129">
        <v>14.444000000000001</v>
      </c>
      <c r="S167" s="177">
        <f t="shared" ref="S167:S185" si="33">P167/F167</f>
        <v>3.6008181818181821</v>
      </c>
    </row>
    <row r="168" spans="1:19">
      <c r="A168" s="1">
        <f t="shared" si="28"/>
        <v>162</v>
      </c>
      <c r="B168" s="79" t="s">
        <v>77</v>
      </c>
      <c r="C168" s="79" t="s">
        <v>83</v>
      </c>
      <c r="D168" s="80">
        <v>4</v>
      </c>
      <c r="E168" s="80"/>
      <c r="F168" s="116">
        <f>[2]МКД!$H$9</f>
        <v>16</v>
      </c>
      <c r="G168" s="81">
        <f t="shared" si="29"/>
        <v>87.942959999999999</v>
      </c>
      <c r="H168" s="82">
        <f>47590.79/1000</f>
        <v>47.590789999999998</v>
      </c>
      <c r="I168" s="82">
        <f>40352.17/1000</f>
        <v>40.352170000000001</v>
      </c>
      <c r="J168" s="83">
        <f t="shared" si="30"/>
        <v>96.382119999999986</v>
      </c>
      <c r="K168" s="82">
        <f>49107.95/1000</f>
        <v>49.107949999999995</v>
      </c>
      <c r="L168" s="82">
        <f>47274.17/1000</f>
        <v>47.274169999999998</v>
      </c>
      <c r="M168" s="81">
        <f t="shared" si="31"/>
        <v>70.102260000000001</v>
      </c>
      <c r="N168" s="82">
        <f>55756.07/1000</f>
        <v>55.756070000000001</v>
      </c>
      <c r="O168" s="84">
        <f>14346.19/1000</f>
        <v>14.34619</v>
      </c>
      <c r="P168" s="119">
        <f t="shared" si="32"/>
        <v>39.012999999999998</v>
      </c>
      <c r="Q168" s="126">
        <v>32.088000000000001</v>
      </c>
      <c r="R168" s="129">
        <v>6.9249999999999998</v>
      </c>
      <c r="S168" s="177">
        <f t="shared" si="33"/>
        <v>2.4383124999999999</v>
      </c>
    </row>
    <row r="169" spans="1:19">
      <c r="A169" s="1">
        <f t="shared" si="28"/>
        <v>163</v>
      </c>
      <c r="B169" s="79" t="s">
        <v>77</v>
      </c>
      <c r="C169" s="79" t="s">
        <v>100</v>
      </c>
      <c r="D169" s="80">
        <v>3</v>
      </c>
      <c r="E169" s="80" t="s">
        <v>20</v>
      </c>
      <c r="F169" s="116">
        <f>[3]МКД!$H$162</f>
        <v>8</v>
      </c>
      <c r="G169" s="81">
        <f t="shared" si="29"/>
        <v>41.669629999999998</v>
      </c>
      <c r="H169" s="82">
        <f>25854.42/1000</f>
        <v>25.854419999999998</v>
      </c>
      <c r="I169" s="82">
        <f>15815.21/1000</f>
        <v>15.815209999999999</v>
      </c>
      <c r="J169" s="83">
        <f t="shared" si="30"/>
        <v>37.281760000000006</v>
      </c>
      <c r="K169" s="82">
        <f>26720.41/1000</f>
        <v>26.720410000000001</v>
      </c>
      <c r="L169" s="82">
        <f>10561.35/1000</f>
        <v>10.561350000000001</v>
      </c>
      <c r="M169" s="81">
        <f t="shared" si="31"/>
        <v>39.727460000000001</v>
      </c>
      <c r="N169" s="82">
        <f>32360.49/1000</f>
        <v>32.360489999999999</v>
      </c>
      <c r="O169" s="84">
        <f>7366.97/1000</f>
        <v>7.3669700000000002</v>
      </c>
      <c r="P169" s="119">
        <f t="shared" si="32"/>
        <v>37.116</v>
      </c>
      <c r="Q169" s="126">
        <v>21.623999999999999</v>
      </c>
      <c r="R169" s="129">
        <v>15.492000000000001</v>
      </c>
      <c r="S169" s="177">
        <f t="shared" si="33"/>
        <v>4.6395</v>
      </c>
    </row>
    <row r="170" spans="1:19">
      <c r="A170" s="1">
        <f t="shared" si="28"/>
        <v>164</v>
      </c>
      <c r="B170" s="79" t="s">
        <v>77</v>
      </c>
      <c r="C170" s="178" t="s">
        <v>79</v>
      </c>
      <c r="D170" s="139">
        <v>49</v>
      </c>
      <c r="E170" s="140"/>
      <c r="F170" s="75">
        <f>[1]МКД!$H$54</f>
        <v>12</v>
      </c>
      <c r="G170" s="148">
        <f t="shared" si="29"/>
        <v>27.79</v>
      </c>
      <c r="H170" s="186">
        <v>23.5</v>
      </c>
      <c r="I170" s="188">
        <v>4.29</v>
      </c>
      <c r="J170" s="149">
        <f t="shared" si="30"/>
        <v>55.739999999999995</v>
      </c>
      <c r="K170" s="188">
        <v>51.73</v>
      </c>
      <c r="L170" s="188">
        <v>4.01</v>
      </c>
      <c r="M170" s="148">
        <f t="shared" si="31"/>
        <v>49.3</v>
      </c>
      <c r="N170" s="188">
        <v>46.05</v>
      </c>
      <c r="O170" s="190">
        <v>3.25</v>
      </c>
      <c r="P170" s="150">
        <f t="shared" si="32"/>
        <v>37.090000000000003</v>
      </c>
      <c r="Q170" s="192">
        <v>34.200000000000003</v>
      </c>
      <c r="R170" s="194">
        <v>2.89</v>
      </c>
      <c r="S170" s="151">
        <f t="shared" si="33"/>
        <v>3.0908333333333338</v>
      </c>
    </row>
    <row r="171" spans="1:19">
      <c r="A171" s="1">
        <f t="shared" si="28"/>
        <v>165</v>
      </c>
      <c r="B171" s="79" t="s">
        <v>77</v>
      </c>
      <c r="C171" s="79" t="s">
        <v>19</v>
      </c>
      <c r="D171" s="80">
        <v>53</v>
      </c>
      <c r="E171" s="80"/>
      <c r="F171" s="116">
        <f>[2]МКД!$H$58</f>
        <v>12</v>
      </c>
      <c r="G171" s="81">
        <f t="shared" si="29"/>
        <v>58.85</v>
      </c>
      <c r="H171" s="85">
        <f>21.3+30.18</f>
        <v>51.480000000000004</v>
      </c>
      <c r="I171" s="82">
        <f>1.43+5.94</f>
        <v>7.37</v>
      </c>
      <c r="J171" s="83">
        <f t="shared" si="30"/>
        <v>61.839999999999996</v>
      </c>
      <c r="K171" s="82">
        <f>21.3+32.58</f>
        <v>53.879999999999995</v>
      </c>
      <c r="L171" s="82">
        <f>1.58+6.38</f>
        <v>7.96</v>
      </c>
      <c r="M171" s="81">
        <f t="shared" si="31"/>
        <v>63.620000000000005</v>
      </c>
      <c r="N171" s="82">
        <f>21.3+35.09</f>
        <v>56.39</v>
      </c>
      <c r="O171" s="84">
        <f>1.58+5.65</f>
        <v>7.23</v>
      </c>
      <c r="P171" s="119">
        <f t="shared" si="32"/>
        <v>34.532999999999994</v>
      </c>
      <c r="Q171" s="126">
        <f>12.463+23.77</f>
        <v>36.232999999999997</v>
      </c>
      <c r="R171" s="129">
        <f>-5.62+3.92</f>
        <v>-1.7000000000000002</v>
      </c>
      <c r="S171" s="177">
        <f t="shared" si="33"/>
        <v>2.8777499999999994</v>
      </c>
    </row>
    <row r="172" spans="1:19">
      <c r="A172" s="1">
        <f t="shared" si="28"/>
        <v>166</v>
      </c>
      <c r="B172" s="79" t="s">
        <v>77</v>
      </c>
      <c r="C172" s="79" t="s">
        <v>74</v>
      </c>
      <c r="D172" s="80">
        <v>17</v>
      </c>
      <c r="E172" s="80" t="s">
        <v>21</v>
      </c>
      <c r="F172" s="116">
        <f>[3]МКД!$H$92</f>
        <v>12</v>
      </c>
      <c r="G172" s="81">
        <f t="shared" si="29"/>
        <v>70.557909999999993</v>
      </c>
      <c r="H172" s="85">
        <f>25987.4/1000</f>
        <v>25.987400000000001</v>
      </c>
      <c r="I172" s="82">
        <f>44570.51/1000</f>
        <v>44.570509999999999</v>
      </c>
      <c r="J172" s="83">
        <f t="shared" si="30"/>
        <v>80.219339999999988</v>
      </c>
      <c r="K172" s="82">
        <f>30158.25/1000</f>
        <v>30.158249999999999</v>
      </c>
      <c r="L172" s="82">
        <f>50061.09/1000</f>
        <v>50.061089999999993</v>
      </c>
      <c r="M172" s="81">
        <f t="shared" si="31"/>
        <v>152.42108999999999</v>
      </c>
      <c r="N172" s="82">
        <f>29354.33/1000</f>
        <v>29.354330000000001</v>
      </c>
      <c r="O172" s="84">
        <f>123066.76/1000</f>
        <v>123.06675999999999</v>
      </c>
      <c r="P172" s="119">
        <f t="shared" si="32"/>
        <v>32.986000000000004</v>
      </c>
      <c r="Q172" s="126">
        <v>14.409000000000001</v>
      </c>
      <c r="R172" s="129">
        <v>18.577000000000002</v>
      </c>
      <c r="S172" s="177">
        <f t="shared" si="33"/>
        <v>2.7488333333333337</v>
      </c>
    </row>
    <row r="173" spans="1:19">
      <c r="A173" s="1">
        <f t="shared" si="28"/>
        <v>167</v>
      </c>
      <c r="B173" s="79" t="s">
        <v>77</v>
      </c>
      <c r="C173" s="79" t="s">
        <v>83</v>
      </c>
      <c r="D173" s="80">
        <v>45</v>
      </c>
      <c r="E173" s="80" t="s">
        <v>20</v>
      </c>
      <c r="F173" s="116">
        <v>12</v>
      </c>
      <c r="G173" s="81">
        <f t="shared" si="29"/>
        <v>44.302370000000003</v>
      </c>
      <c r="H173" s="82">
        <f>37058.48/1000</f>
        <v>37.058480000000003</v>
      </c>
      <c r="I173" s="82">
        <f>7243.89/1000</f>
        <v>7.2438900000000004</v>
      </c>
      <c r="J173" s="83">
        <f t="shared" si="30"/>
        <v>38.943339999999999</v>
      </c>
      <c r="K173" s="82">
        <f>34687.78/1000</f>
        <v>34.687779999999997</v>
      </c>
      <c r="L173" s="82">
        <f>4255.56/1000</f>
        <v>4.25556</v>
      </c>
      <c r="M173" s="81">
        <f t="shared" si="31"/>
        <v>39.442259999999997</v>
      </c>
      <c r="N173" s="82">
        <f>34380.57/1000</f>
        <v>34.380569999999999</v>
      </c>
      <c r="O173" s="84">
        <f>5061.69/1000</f>
        <v>5.0616899999999996</v>
      </c>
      <c r="P173" s="119">
        <f t="shared" si="32"/>
        <v>32.398000000000003</v>
      </c>
      <c r="Q173" s="126">
        <v>19.809000000000001</v>
      </c>
      <c r="R173" s="129">
        <v>12.589</v>
      </c>
      <c r="S173" s="177">
        <f t="shared" si="33"/>
        <v>2.6998333333333338</v>
      </c>
    </row>
    <row r="174" spans="1:19">
      <c r="A174" s="1">
        <f t="shared" si="28"/>
        <v>168</v>
      </c>
      <c r="B174" s="79" t="s">
        <v>77</v>
      </c>
      <c r="C174" s="79" t="s">
        <v>92</v>
      </c>
      <c r="D174" s="80">
        <v>5</v>
      </c>
      <c r="E174" s="80"/>
      <c r="F174" s="116">
        <f>[3]МКД!$H$104</f>
        <v>12</v>
      </c>
      <c r="G174" s="81">
        <f t="shared" si="29"/>
        <v>53.765740000000001</v>
      </c>
      <c r="H174" s="85">
        <f>37985.12/1000</f>
        <v>37.985120000000002</v>
      </c>
      <c r="I174" s="82">
        <f>15780.62/1000</f>
        <v>15.780620000000001</v>
      </c>
      <c r="J174" s="83">
        <f t="shared" si="30"/>
        <v>30.441879999999998</v>
      </c>
      <c r="K174" s="82">
        <f>22043.21/1000</f>
        <v>22.043209999999998</v>
      </c>
      <c r="L174" s="82">
        <f>8398.67/1000</f>
        <v>8.3986699999999992</v>
      </c>
      <c r="M174" s="81">
        <f t="shared" si="31"/>
        <v>36.568260000000002</v>
      </c>
      <c r="N174" s="82">
        <f>25235.83/1000</f>
        <v>25.23583</v>
      </c>
      <c r="O174" s="84">
        <f>11332.43/1000</f>
        <v>11.33243</v>
      </c>
      <c r="P174" s="119">
        <f t="shared" si="32"/>
        <v>32.393000000000001</v>
      </c>
      <c r="Q174" s="126">
        <v>22.898</v>
      </c>
      <c r="R174" s="129">
        <v>9.4949999999999992</v>
      </c>
      <c r="S174" s="177">
        <f t="shared" si="33"/>
        <v>2.6994166666666666</v>
      </c>
    </row>
    <row r="175" spans="1:19">
      <c r="A175" s="1">
        <f t="shared" si="28"/>
        <v>169</v>
      </c>
      <c r="B175" s="79" t="s">
        <v>77</v>
      </c>
      <c r="C175" s="79" t="s">
        <v>87</v>
      </c>
      <c r="D175" s="80">
        <v>12</v>
      </c>
      <c r="E175" s="80"/>
      <c r="F175" s="116">
        <f>[2]МКД!$H$42</f>
        <v>12</v>
      </c>
      <c r="G175" s="81">
        <f t="shared" si="29"/>
        <v>77.224150000000009</v>
      </c>
      <c r="H175" s="85">
        <f>33249/1000</f>
        <v>33.249000000000002</v>
      </c>
      <c r="I175" s="82">
        <f>43975.15/1000</f>
        <v>43.975149999999999</v>
      </c>
      <c r="J175" s="83">
        <f t="shared" si="30"/>
        <v>60.557729999999999</v>
      </c>
      <c r="K175" s="82">
        <f>29606.31/1000</f>
        <v>29.606310000000001</v>
      </c>
      <c r="L175" s="82">
        <f>30951.42/1000</f>
        <v>30.951419999999999</v>
      </c>
      <c r="M175" s="81">
        <f t="shared" si="31"/>
        <v>33.971090000000004</v>
      </c>
      <c r="N175" s="82">
        <f>29426.71/1000</f>
        <v>29.42671</v>
      </c>
      <c r="O175" s="84">
        <f>4544.38/1000</f>
        <v>4.5443800000000003</v>
      </c>
      <c r="P175" s="119">
        <f t="shared" si="32"/>
        <v>32.277000000000001</v>
      </c>
      <c r="Q175" s="126">
        <v>16.370999999999999</v>
      </c>
      <c r="R175" s="129">
        <v>15.906000000000001</v>
      </c>
      <c r="S175" s="177">
        <f t="shared" si="33"/>
        <v>2.6897500000000001</v>
      </c>
    </row>
    <row r="176" spans="1:19">
      <c r="A176" s="1">
        <f t="shared" si="28"/>
        <v>170</v>
      </c>
      <c r="B176" s="79" t="s">
        <v>77</v>
      </c>
      <c r="C176" s="79" t="s">
        <v>99</v>
      </c>
      <c r="D176" s="80">
        <v>35</v>
      </c>
      <c r="E176" s="80"/>
      <c r="F176" s="116">
        <f>[3]МКД!$H$150</f>
        <v>12</v>
      </c>
      <c r="G176" s="81">
        <f t="shared" si="29"/>
        <v>112.10434000000001</v>
      </c>
      <c r="H176" s="85">
        <f>48315.61/1000</f>
        <v>48.31561</v>
      </c>
      <c r="I176" s="82">
        <f>63788.73/1000</f>
        <v>63.788730000000001</v>
      </c>
      <c r="J176" s="83">
        <f t="shared" si="30"/>
        <v>73.193399999999997</v>
      </c>
      <c r="K176" s="82">
        <f>38834.99/1000</f>
        <v>38.834989999999998</v>
      </c>
      <c r="L176" s="82">
        <f>34358.41/1000</f>
        <v>34.358410000000006</v>
      </c>
      <c r="M176" s="81">
        <f t="shared" si="31"/>
        <v>67.86148</v>
      </c>
      <c r="N176" s="82">
        <f>49222.03/1000</f>
        <v>49.222029999999997</v>
      </c>
      <c r="O176" s="84">
        <f>18639.45/1000</f>
        <v>18.63945</v>
      </c>
      <c r="P176" s="119">
        <f t="shared" si="32"/>
        <v>31.167999999999999</v>
      </c>
      <c r="Q176" s="126">
        <v>12.696</v>
      </c>
      <c r="R176" s="129">
        <v>18.472000000000001</v>
      </c>
      <c r="S176" s="177">
        <f t="shared" si="33"/>
        <v>2.5973333333333333</v>
      </c>
    </row>
    <row r="177" spans="1:20">
      <c r="A177" s="1">
        <f t="shared" si="28"/>
        <v>171</v>
      </c>
      <c r="B177" s="79" t="s">
        <v>77</v>
      </c>
      <c r="C177" s="79" t="s">
        <v>90</v>
      </c>
      <c r="D177" s="80">
        <v>11</v>
      </c>
      <c r="E177" s="80"/>
      <c r="F177" s="116">
        <f>[2]МКД!$H$67</f>
        <v>12</v>
      </c>
      <c r="G177" s="81">
        <f t="shared" si="29"/>
        <v>32.388480000000001</v>
      </c>
      <c r="H177" s="85">
        <f>31976.88/1000</f>
        <v>31.976880000000001</v>
      </c>
      <c r="I177" s="82">
        <f>411.6/1000</f>
        <v>0.41160000000000002</v>
      </c>
      <c r="J177" s="83">
        <f t="shared" si="30"/>
        <v>38.878939999999993</v>
      </c>
      <c r="K177" s="82">
        <f>38500.57/1000</f>
        <v>38.500569999999996</v>
      </c>
      <c r="L177" s="82">
        <f>378.37/1000</f>
        <v>0.37836999999999998</v>
      </c>
      <c r="M177" s="81">
        <f t="shared" si="31"/>
        <v>38.072280000000006</v>
      </c>
      <c r="N177" s="82">
        <f>37614.58/1000</f>
        <v>37.614580000000004</v>
      </c>
      <c r="O177" s="84">
        <f>457.7/1000</f>
        <v>0.4577</v>
      </c>
      <c r="P177" s="119">
        <f t="shared" si="32"/>
        <v>30.423000000000002</v>
      </c>
      <c r="Q177" s="126">
        <v>17.599</v>
      </c>
      <c r="R177" s="129">
        <v>12.824</v>
      </c>
      <c r="S177" s="177">
        <f t="shared" si="33"/>
        <v>2.53525</v>
      </c>
    </row>
    <row r="178" spans="1:20">
      <c r="A178" s="1">
        <f t="shared" si="28"/>
        <v>172</v>
      </c>
      <c r="B178" s="79" t="s">
        <v>77</v>
      </c>
      <c r="C178" s="79" t="s">
        <v>96</v>
      </c>
      <c r="D178" s="80">
        <v>6</v>
      </c>
      <c r="E178" s="80"/>
      <c r="F178" s="116">
        <f>[1]МКД!$H$250</f>
        <v>4</v>
      </c>
      <c r="G178" s="81">
        <f t="shared" si="29"/>
        <v>0</v>
      </c>
      <c r="H178" s="85">
        <v>0</v>
      </c>
      <c r="I178" s="82"/>
      <c r="J178" s="83">
        <f t="shared" si="30"/>
        <v>37.602459999999994</v>
      </c>
      <c r="K178" s="82">
        <f>36912.88/1000</f>
        <v>36.912879999999994</v>
      </c>
      <c r="L178" s="82">
        <f>689.58/1000</f>
        <v>0.68958000000000008</v>
      </c>
      <c r="M178" s="81">
        <f t="shared" si="31"/>
        <v>28.009789999999999</v>
      </c>
      <c r="N178" s="82">
        <f>27587.39/1000</f>
        <v>27.587389999999999</v>
      </c>
      <c r="O178" s="84">
        <f>422.4/1000</f>
        <v>0.4224</v>
      </c>
      <c r="P178" s="119">
        <f t="shared" si="32"/>
        <v>25.785</v>
      </c>
      <c r="Q178" s="126">
        <v>25.414999999999999</v>
      </c>
      <c r="R178" s="129">
        <v>0.37</v>
      </c>
      <c r="S178" s="177">
        <f t="shared" si="33"/>
        <v>6.44625</v>
      </c>
    </row>
    <row r="179" spans="1:20">
      <c r="A179" s="1">
        <f t="shared" si="28"/>
        <v>173</v>
      </c>
      <c r="B179" s="79" t="s">
        <v>77</v>
      </c>
      <c r="C179" s="79" t="s">
        <v>90</v>
      </c>
      <c r="D179" s="80">
        <v>7</v>
      </c>
      <c r="E179" s="80"/>
      <c r="F179" s="116">
        <f>[1]МКД!$H$382</f>
        <v>12</v>
      </c>
      <c r="G179" s="81">
        <f t="shared" si="29"/>
        <v>15.500530000000001</v>
      </c>
      <c r="H179" s="85">
        <f>15500.53/1000</f>
        <v>15.500530000000001</v>
      </c>
      <c r="I179" s="82">
        <v>0</v>
      </c>
      <c r="J179" s="83">
        <f t="shared" si="30"/>
        <v>31.151400000000002</v>
      </c>
      <c r="K179" s="82">
        <f>31151.4/1000</f>
        <v>31.151400000000002</v>
      </c>
      <c r="L179" s="82">
        <v>0</v>
      </c>
      <c r="M179" s="81">
        <f t="shared" si="31"/>
        <v>29.556909999999998</v>
      </c>
      <c r="N179" s="82">
        <f>29556.91/1000</f>
        <v>29.556909999999998</v>
      </c>
      <c r="O179" s="84">
        <v>0</v>
      </c>
      <c r="P179" s="119">
        <f t="shared" si="32"/>
        <v>23.677</v>
      </c>
      <c r="Q179" s="126">
        <v>12.074</v>
      </c>
      <c r="R179" s="129">
        <v>11.603</v>
      </c>
      <c r="S179" s="177">
        <f t="shared" si="33"/>
        <v>1.9730833333333333</v>
      </c>
    </row>
    <row r="180" spans="1:20">
      <c r="A180" s="1">
        <f t="shared" si="28"/>
        <v>174</v>
      </c>
      <c r="B180" s="79" t="s">
        <v>77</v>
      </c>
      <c r="C180" s="79" t="s">
        <v>94</v>
      </c>
      <c r="D180" s="80">
        <v>9</v>
      </c>
      <c r="E180" s="80"/>
      <c r="F180" s="116">
        <f>[3]МКД!$H$131</f>
        <v>12</v>
      </c>
      <c r="G180" s="81">
        <f t="shared" si="29"/>
        <v>33.860840000000003</v>
      </c>
      <c r="H180" s="85">
        <f>33130.51/1000</f>
        <v>33.130510000000001</v>
      </c>
      <c r="I180" s="82">
        <f>730.33/1000</f>
        <v>0.73033000000000003</v>
      </c>
      <c r="J180" s="83">
        <f t="shared" si="30"/>
        <v>47.067189999999997</v>
      </c>
      <c r="K180" s="82">
        <f>45895.84/1000</f>
        <v>45.89584</v>
      </c>
      <c r="L180" s="82">
        <f>1171.35/1000</f>
        <v>1.1713499999999999</v>
      </c>
      <c r="M180" s="81">
        <f t="shared" si="31"/>
        <v>44.345330000000004</v>
      </c>
      <c r="N180" s="82">
        <f>43375.44/1000</f>
        <v>43.375440000000005</v>
      </c>
      <c r="O180" s="84">
        <f>969.89/1000</f>
        <v>0.96989000000000003</v>
      </c>
      <c r="P180" s="119">
        <f t="shared" si="32"/>
        <v>22.414000000000001</v>
      </c>
      <c r="Q180" s="126">
        <v>16.673999999999999</v>
      </c>
      <c r="R180" s="129">
        <v>5.74</v>
      </c>
      <c r="S180" s="177">
        <f t="shared" si="33"/>
        <v>1.8678333333333335</v>
      </c>
    </row>
    <row r="181" spans="1:20">
      <c r="A181" s="1">
        <f t="shared" si="28"/>
        <v>175</v>
      </c>
      <c r="B181" s="79" t="s">
        <v>77</v>
      </c>
      <c r="C181" s="79" t="s">
        <v>94</v>
      </c>
      <c r="D181" s="80">
        <v>4</v>
      </c>
      <c r="E181" s="80"/>
      <c r="F181" s="116">
        <f>[3]МКД!$H$127</f>
        <v>8</v>
      </c>
      <c r="G181" s="81">
        <f t="shared" si="29"/>
        <v>15.358000000000001</v>
      </c>
      <c r="H181" s="85">
        <f>15060.54/1000</f>
        <v>15.060540000000001</v>
      </c>
      <c r="I181" s="82">
        <f>297.46/1000</f>
        <v>0.29746</v>
      </c>
      <c r="J181" s="83">
        <f t="shared" si="30"/>
        <v>18.392749999999999</v>
      </c>
      <c r="K181" s="82">
        <f>17893.03/1000</f>
        <v>17.89303</v>
      </c>
      <c r="L181" s="82">
        <f>499.72/1000</f>
        <v>0.49972000000000005</v>
      </c>
      <c r="M181" s="81">
        <f t="shared" si="31"/>
        <v>18.28023</v>
      </c>
      <c r="N181" s="82">
        <f>17890.84/1000</f>
        <v>17.890840000000001</v>
      </c>
      <c r="O181" s="84">
        <f>389.39/1000</f>
        <v>0.38939000000000001</v>
      </c>
      <c r="P181" s="119">
        <f t="shared" si="32"/>
        <v>20.8</v>
      </c>
      <c r="Q181" s="126">
        <v>17.731000000000002</v>
      </c>
      <c r="R181" s="129">
        <v>3.069</v>
      </c>
      <c r="S181" s="177">
        <f t="shared" si="33"/>
        <v>2.6</v>
      </c>
    </row>
    <row r="182" spans="1:20">
      <c r="A182" s="1">
        <f t="shared" si="28"/>
        <v>176</v>
      </c>
      <c r="B182" s="92" t="s">
        <v>77</v>
      </c>
      <c r="C182" s="79" t="s">
        <v>37</v>
      </c>
      <c r="D182" s="80">
        <v>30</v>
      </c>
      <c r="E182" s="80"/>
      <c r="F182" s="116">
        <f>[3]МКД!$H$84</f>
        <v>8</v>
      </c>
      <c r="G182" s="81">
        <f t="shared" si="29"/>
        <v>59.927579999999992</v>
      </c>
      <c r="H182" s="85">
        <f>39371.32/1000</f>
        <v>39.371319999999997</v>
      </c>
      <c r="I182" s="82">
        <f>20556.26/1000</f>
        <v>20.556259999999998</v>
      </c>
      <c r="J182" s="83">
        <f t="shared" si="30"/>
        <v>62.096919999999997</v>
      </c>
      <c r="K182" s="82">
        <f>38203.76/1000</f>
        <v>38.203760000000003</v>
      </c>
      <c r="L182" s="82">
        <f>23893.16/1000</f>
        <v>23.893159999999998</v>
      </c>
      <c r="M182" s="81">
        <f t="shared" si="31"/>
        <v>57.10284</v>
      </c>
      <c r="N182" s="82">
        <f>44889.53/1000</f>
        <v>44.889530000000001</v>
      </c>
      <c r="O182" s="84">
        <f>12213.31/1000</f>
        <v>12.21331</v>
      </c>
      <c r="P182" s="119">
        <f t="shared" si="32"/>
        <v>19.331999999999997</v>
      </c>
      <c r="Q182" s="126">
        <v>21.620999999999999</v>
      </c>
      <c r="R182" s="129">
        <v>-2.2890000000000001</v>
      </c>
      <c r="S182" s="177">
        <f t="shared" si="33"/>
        <v>2.4164999999999996</v>
      </c>
    </row>
    <row r="183" spans="1:20">
      <c r="A183" s="1">
        <f t="shared" si="28"/>
        <v>177</v>
      </c>
      <c r="B183" s="79" t="s">
        <v>77</v>
      </c>
      <c r="C183" s="79" t="s">
        <v>88</v>
      </c>
      <c r="D183" s="80">
        <v>3</v>
      </c>
      <c r="E183" s="80"/>
      <c r="F183" s="116">
        <f>[2]МКД!$H$45</f>
        <v>2</v>
      </c>
      <c r="G183" s="81">
        <f t="shared" si="29"/>
        <v>20.034040000000001</v>
      </c>
      <c r="H183" s="85">
        <f>7734.97/1000</f>
        <v>7.7349700000000006</v>
      </c>
      <c r="I183" s="82">
        <f>12299.07/1000</f>
        <v>12.29907</v>
      </c>
      <c r="J183" s="83">
        <f t="shared" si="30"/>
        <v>11.54325</v>
      </c>
      <c r="K183" s="82">
        <f>11543.25/1000</f>
        <v>11.54325</v>
      </c>
      <c r="L183" s="82">
        <v>0</v>
      </c>
      <c r="M183" s="81">
        <f t="shared" si="31"/>
        <v>8.8179200000000009</v>
      </c>
      <c r="N183" s="82">
        <f>7919.83/1000</f>
        <v>7.9198300000000001</v>
      </c>
      <c r="O183" s="84">
        <f>898.09/1000</f>
        <v>0.89809000000000005</v>
      </c>
      <c r="P183" s="119">
        <f t="shared" si="32"/>
        <v>10.353</v>
      </c>
      <c r="Q183" s="126">
        <v>6.77</v>
      </c>
      <c r="R183" s="129">
        <v>3.5830000000000002</v>
      </c>
      <c r="S183" s="177">
        <f t="shared" si="33"/>
        <v>5.1764999999999999</v>
      </c>
    </row>
    <row r="184" spans="1:20">
      <c r="A184" s="1">
        <f t="shared" si="28"/>
        <v>178</v>
      </c>
      <c r="B184" s="79" t="s">
        <v>77</v>
      </c>
      <c r="C184" s="79" t="s">
        <v>38</v>
      </c>
      <c r="D184" s="80">
        <v>28</v>
      </c>
      <c r="E184" s="80"/>
      <c r="F184" s="116">
        <f>[1]МКД!$H$386</f>
        <v>12</v>
      </c>
      <c r="G184" s="81">
        <f t="shared" si="29"/>
        <v>5.5452200000000005</v>
      </c>
      <c r="H184" s="85">
        <f>5545.22/1000</f>
        <v>5.5452200000000005</v>
      </c>
      <c r="I184" s="82"/>
      <c r="J184" s="83">
        <f t="shared" si="30"/>
        <v>7.5213400000000004</v>
      </c>
      <c r="K184" s="82">
        <f>7521.34/1000</f>
        <v>7.5213400000000004</v>
      </c>
      <c r="L184" s="82">
        <v>0</v>
      </c>
      <c r="M184" s="81">
        <f t="shared" si="31"/>
        <v>6.9500799999999998</v>
      </c>
      <c r="N184" s="82">
        <f>6950.08/1000</f>
        <v>6.9500799999999998</v>
      </c>
      <c r="O184" s="84"/>
      <c r="P184" s="119">
        <f t="shared" si="32"/>
        <v>8.1979999999999986</v>
      </c>
      <c r="Q184" s="126">
        <v>8.4979999999999993</v>
      </c>
      <c r="R184" s="129">
        <v>-0.3</v>
      </c>
      <c r="S184" s="177">
        <f t="shared" si="33"/>
        <v>0.68316666666666659</v>
      </c>
    </row>
    <row r="185" spans="1:20">
      <c r="A185" s="1">
        <f t="shared" si="28"/>
        <v>179</v>
      </c>
      <c r="B185" s="87" t="s">
        <v>77</v>
      </c>
      <c r="C185" s="87" t="s">
        <v>83</v>
      </c>
      <c r="D185" s="88">
        <v>75</v>
      </c>
      <c r="E185" s="88"/>
      <c r="F185" s="116">
        <f>[2]МКД!$H$23</f>
        <v>2</v>
      </c>
      <c r="G185" s="117">
        <f t="shared" si="29"/>
        <v>2.7116500000000001</v>
      </c>
      <c r="H185" s="85">
        <f>2665.02/1000</f>
        <v>2.6650200000000002</v>
      </c>
      <c r="I185" s="82">
        <f>46.63/1000</f>
        <v>4.6630000000000005E-2</v>
      </c>
      <c r="J185" s="118">
        <f t="shared" si="30"/>
        <v>2.7271900000000002</v>
      </c>
      <c r="K185" s="82">
        <f>2665.02/1000</f>
        <v>2.6650200000000002</v>
      </c>
      <c r="L185" s="82">
        <f>62.17/1000</f>
        <v>6.2170000000000003E-2</v>
      </c>
      <c r="M185" s="117">
        <f t="shared" si="31"/>
        <v>2.7296200000000002</v>
      </c>
      <c r="N185" s="82">
        <f>2665.02/1000</f>
        <v>2.6650200000000002</v>
      </c>
      <c r="O185" s="84">
        <f>64.6/1000</f>
        <v>6.4599999999999991E-2</v>
      </c>
      <c r="P185" s="127">
        <f t="shared" si="32"/>
        <v>2.7290000000000001</v>
      </c>
      <c r="Q185" s="126">
        <v>2.665</v>
      </c>
      <c r="R185" s="129">
        <v>6.4000000000000001E-2</v>
      </c>
      <c r="S185" s="177">
        <f t="shared" si="33"/>
        <v>1.3645</v>
      </c>
    </row>
    <row r="186" spans="1:20" s="99" customFormat="1">
      <c r="A186" s="98"/>
      <c r="B186" s="120" t="s">
        <v>8</v>
      </c>
      <c r="C186" s="98"/>
      <c r="D186" s="98"/>
      <c r="E186" s="98"/>
      <c r="F186" s="123">
        <f>SUM(F7:F185)</f>
        <v>2595</v>
      </c>
      <c r="G186" s="121">
        <f>SUM(G7:G185)</f>
        <v>46528.755260000027</v>
      </c>
      <c r="H186" s="121">
        <f t="shared" ref="H186:R186" si="34">SUM(H7:H185)</f>
        <v>21944.573650000006</v>
      </c>
      <c r="I186" s="121">
        <f t="shared" si="34"/>
        <v>24584.181610000011</v>
      </c>
      <c r="J186" s="121">
        <f t="shared" si="34"/>
        <v>55240.401560000013</v>
      </c>
      <c r="K186" s="121">
        <f t="shared" si="34"/>
        <v>25804.556609999985</v>
      </c>
      <c r="L186" s="121">
        <f t="shared" si="34"/>
        <v>29435.84495000001</v>
      </c>
      <c r="M186" s="121">
        <f t="shared" si="34"/>
        <v>57079.079309999994</v>
      </c>
      <c r="N186" s="121">
        <f t="shared" si="34"/>
        <v>26378.187359999996</v>
      </c>
      <c r="O186" s="121">
        <f t="shared" si="34"/>
        <v>30700.891950000008</v>
      </c>
      <c r="P186" s="121">
        <f t="shared" si="34"/>
        <v>55407.40800000001</v>
      </c>
      <c r="Q186" s="121">
        <f t="shared" si="34"/>
        <v>24084.683000000015</v>
      </c>
      <c r="R186" s="121">
        <f t="shared" si="34"/>
        <v>31322.724999999991</v>
      </c>
      <c r="S186" s="122"/>
      <c r="T186" s="99">
        <f>P186/A185</f>
        <v>309.53859217877101</v>
      </c>
    </row>
    <row r="189" spans="1:20" s="175" customFormat="1">
      <c r="B189" s="156" t="s">
        <v>112</v>
      </c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35"/>
    </row>
    <row r="190" spans="1:20" s="175" customFormat="1" ht="29.25" customHeight="1">
      <c r="B190" s="225" t="s">
        <v>124</v>
      </c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</row>
  </sheetData>
  <sortState ref="C7:S185">
    <sortCondition descending="1" ref="P7:P185"/>
  </sortState>
  <mergeCells count="23">
    <mergeCell ref="P4:R4"/>
    <mergeCell ref="S4:S6"/>
    <mergeCell ref="E5:E6"/>
    <mergeCell ref="G5:G6"/>
    <mergeCell ref="H5:I5"/>
    <mergeCell ref="P5:P6"/>
    <mergeCell ref="Q5:R5"/>
    <mergeCell ref="B190:T190"/>
    <mergeCell ref="C1:N1"/>
    <mergeCell ref="A4:A6"/>
    <mergeCell ref="B4:B6"/>
    <mergeCell ref="C4:E4"/>
    <mergeCell ref="G4:I4"/>
    <mergeCell ref="J4:L4"/>
    <mergeCell ref="M4:O4"/>
    <mergeCell ref="C2:O2"/>
    <mergeCell ref="J5:J6"/>
    <mergeCell ref="K5:L5"/>
    <mergeCell ref="M5:M6"/>
    <mergeCell ref="N5:O5"/>
    <mergeCell ref="F4:F6"/>
    <mergeCell ref="C5:C6"/>
    <mergeCell ref="D5:D6"/>
  </mergeCells>
  <pageMargins left="0.15748031496062992" right="0.15748031496062992" top="0.74803149606299213" bottom="0.7480314960629921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5"/>
  <sheetViews>
    <sheetView zoomScaleNormal="100" zoomScaleSheetLayoutView="100" workbookViewId="0">
      <selection activeCell="F33" sqref="F33"/>
    </sheetView>
  </sheetViews>
  <sheetFormatPr defaultRowHeight="15" outlineLevelCol="1"/>
  <cols>
    <col min="1" max="1" width="5" customWidth="1"/>
    <col min="2" max="2" width="28.5703125" bestFit="1" customWidth="1"/>
    <col min="3" max="3" width="20.85546875" bestFit="1" customWidth="1"/>
    <col min="5" max="6" width="8.7109375" customWidth="1"/>
    <col min="7" max="7" width="12.42578125" customWidth="1"/>
    <col min="8" max="8" width="11" customWidth="1"/>
    <col min="9" max="9" width="13.7109375" customWidth="1"/>
    <col min="10" max="10" width="11.7109375" hidden="1" customWidth="1" outlineLevel="1"/>
    <col min="11" max="11" width="10" hidden="1" customWidth="1" outlineLevel="1"/>
    <col min="12" max="12" width="13.140625" hidden="1" customWidth="1" outlineLevel="1"/>
    <col min="13" max="13" width="11.42578125" hidden="1" customWidth="1" outlineLevel="1"/>
    <col min="14" max="14" width="10.42578125" hidden="1" customWidth="1" outlineLevel="1"/>
    <col min="15" max="15" width="12.85546875" hidden="1" customWidth="1" outlineLevel="1"/>
    <col min="16" max="16" width="11.42578125" bestFit="1" customWidth="1" collapsed="1"/>
    <col min="17" max="17" width="10.42578125" customWidth="1"/>
    <col min="18" max="19" width="12.85546875" customWidth="1"/>
  </cols>
  <sheetData>
    <row r="1" spans="1:19">
      <c r="C1" s="224" t="s">
        <v>13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 ht="17.25" customHeight="1">
      <c r="B2" s="223" t="s">
        <v>118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19">
      <c r="O3" s="3"/>
      <c r="R3" s="115"/>
      <c r="S3" s="115" t="s">
        <v>9</v>
      </c>
    </row>
    <row r="4" spans="1:19" ht="29.25" customHeight="1">
      <c r="A4" s="231" t="s">
        <v>0</v>
      </c>
      <c r="B4" s="231" t="s">
        <v>15</v>
      </c>
      <c r="C4" s="231" t="s">
        <v>1</v>
      </c>
      <c r="D4" s="231"/>
      <c r="E4" s="231"/>
      <c r="F4" s="246" t="s">
        <v>82</v>
      </c>
      <c r="G4" s="230" t="s">
        <v>10</v>
      </c>
      <c r="H4" s="230"/>
      <c r="I4" s="230"/>
      <c r="J4" s="230" t="s">
        <v>11</v>
      </c>
      <c r="K4" s="230"/>
      <c r="L4" s="230"/>
      <c r="M4" s="230" t="s">
        <v>12</v>
      </c>
      <c r="N4" s="230"/>
      <c r="O4" s="230"/>
      <c r="P4" s="226" t="s">
        <v>41</v>
      </c>
      <c r="Q4" s="226"/>
      <c r="R4" s="226"/>
      <c r="S4" s="232" t="s">
        <v>111</v>
      </c>
    </row>
    <row r="5" spans="1:19" ht="13.5" customHeight="1">
      <c r="A5" s="231"/>
      <c r="B5" s="231"/>
      <c r="C5" s="231" t="s">
        <v>2</v>
      </c>
      <c r="D5" s="231" t="s">
        <v>3</v>
      </c>
      <c r="E5" s="231" t="s">
        <v>4</v>
      </c>
      <c r="F5" s="247"/>
      <c r="G5" s="227" t="s">
        <v>5</v>
      </c>
      <c r="H5" s="228" t="s">
        <v>14</v>
      </c>
      <c r="I5" s="229"/>
      <c r="J5" s="227" t="s">
        <v>5</v>
      </c>
      <c r="K5" s="228" t="s">
        <v>14</v>
      </c>
      <c r="L5" s="229"/>
      <c r="M5" s="227" t="s">
        <v>5</v>
      </c>
      <c r="N5" s="228" t="s">
        <v>14</v>
      </c>
      <c r="O5" s="229"/>
      <c r="P5" s="227" t="s">
        <v>5</v>
      </c>
      <c r="Q5" s="228" t="s">
        <v>14</v>
      </c>
      <c r="R5" s="229"/>
      <c r="S5" s="233"/>
    </row>
    <row r="6" spans="1:19" ht="38.25">
      <c r="A6" s="231"/>
      <c r="B6" s="231"/>
      <c r="C6" s="231"/>
      <c r="D6" s="231"/>
      <c r="E6" s="231"/>
      <c r="F6" s="248"/>
      <c r="G6" s="227"/>
      <c r="H6" s="17" t="s">
        <v>6</v>
      </c>
      <c r="I6" s="17" t="s">
        <v>7</v>
      </c>
      <c r="J6" s="227"/>
      <c r="K6" s="17" t="s">
        <v>6</v>
      </c>
      <c r="L6" s="17" t="s">
        <v>7</v>
      </c>
      <c r="M6" s="227"/>
      <c r="N6" s="17" t="s">
        <v>6</v>
      </c>
      <c r="O6" s="17" t="s">
        <v>7</v>
      </c>
      <c r="P6" s="227"/>
      <c r="Q6" s="17" t="s">
        <v>6</v>
      </c>
      <c r="R6" s="17" t="s">
        <v>7</v>
      </c>
      <c r="S6" s="234"/>
    </row>
    <row r="7" spans="1:19" ht="15" customHeight="1">
      <c r="A7" s="1">
        <v>1</v>
      </c>
      <c r="B7" s="1" t="s">
        <v>101</v>
      </c>
      <c r="C7" s="170" t="s">
        <v>22</v>
      </c>
      <c r="D7" s="170">
        <v>12</v>
      </c>
      <c r="E7" s="207"/>
      <c r="F7" s="180">
        <f>[1]МКД!$H$352</f>
        <v>96</v>
      </c>
      <c r="G7" s="76">
        <f t="shared" ref="G7:G31" si="0">I7+H7</f>
        <v>1386.8780000000002</v>
      </c>
      <c r="H7" s="76">
        <f>505466/1000</f>
        <v>505.46600000000001</v>
      </c>
      <c r="I7" s="76">
        <f>(891986-10574)/1000</f>
        <v>881.41200000000003</v>
      </c>
      <c r="J7" s="76">
        <f>(670395+283)/1000</f>
        <v>670.678</v>
      </c>
      <c r="K7" s="76">
        <f>251977/1000</f>
        <v>251.977</v>
      </c>
      <c r="L7" s="76">
        <f>J7-K7</f>
        <v>418.70100000000002</v>
      </c>
      <c r="M7" s="76">
        <f>(670395+283)/1000</f>
        <v>670.678</v>
      </c>
      <c r="N7" s="76">
        <f>251977/1000</f>
        <v>251.977</v>
      </c>
      <c r="O7" s="76">
        <f>M7-N7</f>
        <v>418.70100000000002</v>
      </c>
      <c r="P7" s="212">
        <f>(670395+283)/1000</f>
        <v>670.678</v>
      </c>
      <c r="Q7" s="212">
        <f>251977/1000</f>
        <v>251.977</v>
      </c>
      <c r="R7" s="212">
        <f>P7-Q7</f>
        <v>418.70100000000002</v>
      </c>
      <c r="S7" s="152">
        <f t="shared" ref="S7:S31" si="1">P7/F7</f>
        <v>6.9862291666666669</v>
      </c>
    </row>
    <row r="8" spans="1:19">
      <c r="A8" s="1">
        <v>2</v>
      </c>
      <c r="B8" s="1" t="s">
        <v>101</v>
      </c>
      <c r="C8" s="1" t="s">
        <v>22</v>
      </c>
      <c r="D8" s="1">
        <v>10</v>
      </c>
      <c r="E8" s="105"/>
      <c r="F8" s="75">
        <f>[1]МКД!$H$32</f>
        <v>72</v>
      </c>
      <c r="G8" s="76">
        <f t="shared" si="0"/>
        <v>733.64200000000005</v>
      </c>
      <c r="H8" s="76">
        <f>301703/1000</f>
        <v>301.70299999999997</v>
      </c>
      <c r="I8" s="76">
        <f>(419594+12345)/1000</f>
        <v>431.93900000000002</v>
      </c>
      <c r="J8" s="76">
        <f>(388704+19614)/1000</f>
        <v>408.31799999999998</v>
      </c>
      <c r="K8" s="76">
        <f>180430/1000</f>
        <v>180.43</v>
      </c>
      <c r="L8" s="76">
        <f>J8-K8</f>
        <v>227.88799999999998</v>
      </c>
      <c r="M8" s="76">
        <f>(388704+19614)/1000</f>
        <v>408.31799999999998</v>
      </c>
      <c r="N8" s="76">
        <f>180430/1000</f>
        <v>180.43</v>
      </c>
      <c r="O8" s="76">
        <f>M8-N8</f>
        <v>227.88799999999998</v>
      </c>
      <c r="P8" s="106">
        <f>(388704+19614)/1000</f>
        <v>408.31799999999998</v>
      </c>
      <c r="Q8" s="106">
        <f>180430/1000</f>
        <v>180.43</v>
      </c>
      <c r="R8" s="106">
        <f>P8-Q8</f>
        <v>227.88799999999998</v>
      </c>
      <c r="S8" s="152">
        <f t="shared" si="1"/>
        <v>5.6710833333333328</v>
      </c>
    </row>
    <row r="9" spans="1:19">
      <c r="A9" s="1">
        <v>3</v>
      </c>
      <c r="B9" s="1" t="s">
        <v>101</v>
      </c>
      <c r="C9" s="141" t="s">
        <v>73</v>
      </c>
      <c r="D9" s="141">
        <v>3</v>
      </c>
      <c r="E9" s="138"/>
      <c r="F9" s="75">
        <f>[1]МКД!$H$76</f>
        <v>72</v>
      </c>
      <c r="G9" s="5">
        <f t="shared" si="0"/>
        <v>661.61099999999999</v>
      </c>
      <c r="H9" s="5">
        <f>206252/1000</f>
        <v>206.25200000000001</v>
      </c>
      <c r="I9" s="5">
        <f>(416138+39221)/1000</f>
        <v>455.35899999999998</v>
      </c>
      <c r="J9" s="5">
        <f>(256967+55743)/1000</f>
        <v>312.70999999999998</v>
      </c>
      <c r="K9" s="5">
        <f>107968/1000</f>
        <v>107.968</v>
      </c>
      <c r="L9" s="5">
        <f>J9-K9</f>
        <v>204.74199999999996</v>
      </c>
      <c r="M9" s="5">
        <f>(256967+55743)/1000</f>
        <v>312.70999999999998</v>
      </c>
      <c r="N9" s="5">
        <f>107968/1000</f>
        <v>107.968</v>
      </c>
      <c r="O9" s="5">
        <f>M9-N9</f>
        <v>204.74199999999996</v>
      </c>
      <c r="P9" s="142">
        <f>(256967+55743)/1000</f>
        <v>312.70999999999998</v>
      </c>
      <c r="Q9" s="142">
        <f>107968/1000</f>
        <v>107.968</v>
      </c>
      <c r="R9" s="142">
        <f>P9-Q9</f>
        <v>204.74199999999996</v>
      </c>
      <c r="S9" s="153">
        <f t="shared" si="1"/>
        <v>4.3431944444444444</v>
      </c>
    </row>
    <row r="10" spans="1:19">
      <c r="A10" s="1">
        <v>4</v>
      </c>
      <c r="B10" s="1" t="s">
        <v>101</v>
      </c>
      <c r="C10" s="170" t="s">
        <v>92</v>
      </c>
      <c r="D10" s="170">
        <v>39</v>
      </c>
      <c r="E10" s="207"/>
      <c r="F10" s="180">
        <f>[1]МКД!$H$119</f>
        <v>18</v>
      </c>
      <c r="G10" s="76">
        <f t="shared" si="0"/>
        <v>329.98</v>
      </c>
      <c r="H10" s="76">
        <f>91008/1000</f>
        <v>91.007999999999996</v>
      </c>
      <c r="I10" s="76">
        <f>238972/1000</f>
        <v>238.97200000000001</v>
      </c>
      <c r="J10" s="76">
        <f>(145604-5007)/1000</f>
        <v>140.59700000000001</v>
      </c>
      <c r="K10" s="76">
        <f>36544/1000</f>
        <v>36.543999999999997</v>
      </c>
      <c r="L10" s="76">
        <f>J10-K10</f>
        <v>104.05300000000001</v>
      </c>
      <c r="M10" s="76">
        <f>(145604-5007)/1000</f>
        <v>140.59700000000001</v>
      </c>
      <c r="N10" s="76">
        <f>36544/1000</f>
        <v>36.543999999999997</v>
      </c>
      <c r="O10" s="76">
        <f>M10-N10</f>
        <v>104.05300000000001</v>
      </c>
      <c r="P10" s="106">
        <f>(145604-5007)/1000</f>
        <v>140.59700000000001</v>
      </c>
      <c r="Q10" s="106">
        <f>36544/1000</f>
        <v>36.543999999999997</v>
      </c>
      <c r="R10" s="106">
        <f>P10-Q10</f>
        <v>104.05300000000001</v>
      </c>
      <c r="S10" s="213">
        <f t="shared" si="1"/>
        <v>7.8109444444444449</v>
      </c>
    </row>
    <row r="11" spans="1:19">
      <c r="A11" s="1">
        <v>5</v>
      </c>
      <c r="B11" s="1" t="s">
        <v>101</v>
      </c>
      <c r="C11" s="1" t="s">
        <v>92</v>
      </c>
      <c r="D11" s="1">
        <v>37</v>
      </c>
      <c r="E11" s="105"/>
      <c r="F11" s="75">
        <f>[1]МКД!$H$117</f>
        <v>15</v>
      </c>
      <c r="G11" s="76">
        <f t="shared" si="0"/>
        <v>116.94200000000001</v>
      </c>
      <c r="H11" s="76">
        <f>46734/1000</f>
        <v>46.734000000000002</v>
      </c>
      <c r="I11" s="76">
        <f>(55254+14954)/1000</f>
        <v>70.207999999999998</v>
      </c>
      <c r="J11" s="76">
        <f>L11+K11</f>
        <v>116.94200000000001</v>
      </c>
      <c r="K11" s="76">
        <f>46734/1000</f>
        <v>46.734000000000002</v>
      </c>
      <c r="L11" s="76">
        <f>(55254+14954)/1000</f>
        <v>70.207999999999998</v>
      </c>
      <c r="M11" s="76">
        <f>O11+N11</f>
        <v>116.94200000000001</v>
      </c>
      <c r="N11" s="76">
        <f>46734/1000</f>
        <v>46.734000000000002</v>
      </c>
      <c r="O11" s="76">
        <f>(55254+14954)/1000</f>
        <v>70.207999999999998</v>
      </c>
      <c r="P11" s="106">
        <f>R11+Q11</f>
        <v>116.94200000000001</v>
      </c>
      <c r="Q11" s="106">
        <f>46734/1000</f>
        <v>46.734000000000002</v>
      </c>
      <c r="R11" s="106">
        <f>(55254+14954)/1000</f>
        <v>70.207999999999998</v>
      </c>
      <c r="S11" s="152">
        <f t="shared" si="1"/>
        <v>7.7961333333333336</v>
      </c>
    </row>
    <row r="12" spans="1:19">
      <c r="A12" s="1">
        <v>6</v>
      </c>
      <c r="B12" s="1" t="s">
        <v>101</v>
      </c>
      <c r="C12" s="1" t="s">
        <v>19</v>
      </c>
      <c r="D12" s="1">
        <v>33</v>
      </c>
      <c r="E12" s="105"/>
      <c r="F12" s="75">
        <f>[1]МКД!$H$170</f>
        <v>60</v>
      </c>
      <c r="G12" s="76">
        <f t="shared" si="0"/>
        <v>249.45299999999997</v>
      </c>
      <c r="H12" s="76">
        <f>72460/1000</f>
        <v>72.459999999999994</v>
      </c>
      <c r="I12" s="76">
        <f>(188534-11541)/1000</f>
        <v>176.99299999999999</v>
      </c>
      <c r="J12" s="76">
        <f>(119291-5709)/1000</f>
        <v>113.58199999999999</v>
      </c>
      <c r="K12" s="76">
        <f>37533/1000</f>
        <v>37.533000000000001</v>
      </c>
      <c r="L12" s="76">
        <f t="shared" ref="L12:L17" si="2">J12-K12</f>
        <v>76.048999999999992</v>
      </c>
      <c r="M12" s="76">
        <f>(119291-5709)/1000</f>
        <v>113.58199999999999</v>
      </c>
      <c r="N12" s="76">
        <f>37533/1000</f>
        <v>37.533000000000001</v>
      </c>
      <c r="O12" s="76">
        <f t="shared" ref="O12:O17" si="3">M12-N12</f>
        <v>76.048999999999992</v>
      </c>
      <c r="P12" s="106">
        <f>(119291-5709)/1000</f>
        <v>113.58199999999999</v>
      </c>
      <c r="Q12" s="106">
        <f>37533/1000</f>
        <v>37.533000000000001</v>
      </c>
      <c r="R12" s="106">
        <f t="shared" ref="R12:R17" si="4">P12-Q12</f>
        <v>76.048999999999992</v>
      </c>
      <c r="S12" s="152">
        <f t="shared" si="1"/>
        <v>1.8930333333333331</v>
      </c>
    </row>
    <row r="13" spans="1:19" ht="15" customHeight="1">
      <c r="A13" s="1">
        <v>7</v>
      </c>
      <c r="B13" s="1" t="s">
        <v>101</v>
      </c>
      <c r="C13" s="1" t="s">
        <v>19</v>
      </c>
      <c r="D13" s="1">
        <v>31</v>
      </c>
      <c r="E13" s="105" t="s">
        <v>102</v>
      </c>
      <c r="F13" s="75">
        <f>[1]МКД!$H$169</f>
        <v>60</v>
      </c>
      <c r="G13" s="76">
        <f t="shared" si="0"/>
        <v>171.255</v>
      </c>
      <c r="H13" s="76">
        <f>55087/1000</f>
        <v>55.087000000000003</v>
      </c>
      <c r="I13" s="76">
        <f>(127411-11243)/1000</f>
        <v>116.16800000000001</v>
      </c>
      <c r="J13" s="76">
        <f>(74465-5885)/1000</f>
        <v>68.58</v>
      </c>
      <c r="K13" s="76">
        <f>32600/1000</f>
        <v>32.6</v>
      </c>
      <c r="L13" s="76">
        <f t="shared" si="2"/>
        <v>35.979999999999997</v>
      </c>
      <c r="M13" s="76">
        <f>(74465-5885)/1000</f>
        <v>68.58</v>
      </c>
      <c r="N13" s="76">
        <f>32600/1000</f>
        <v>32.6</v>
      </c>
      <c r="O13" s="76">
        <f t="shared" si="3"/>
        <v>35.979999999999997</v>
      </c>
      <c r="P13" s="106">
        <f>(74465-5885)/1000</f>
        <v>68.58</v>
      </c>
      <c r="Q13" s="106">
        <f>32600/1000</f>
        <v>32.6</v>
      </c>
      <c r="R13" s="106">
        <f t="shared" si="4"/>
        <v>35.979999999999997</v>
      </c>
      <c r="S13" s="152">
        <f t="shared" si="1"/>
        <v>1.143</v>
      </c>
    </row>
    <row r="14" spans="1:19">
      <c r="A14" s="1">
        <v>8</v>
      </c>
      <c r="B14" s="1" t="s">
        <v>101</v>
      </c>
      <c r="C14" s="1" t="s">
        <v>92</v>
      </c>
      <c r="D14" s="1">
        <v>43</v>
      </c>
      <c r="E14" s="105"/>
      <c r="F14" s="75">
        <f>[1]МКД!$H$121</f>
        <v>35</v>
      </c>
      <c r="G14" s="76">
        <f t="shared" si="0"/>
        <v>94.287999999999997</v>
      </c>
      <c r="H14" s="76">
        <f>19694/1000</f>
        <v>19.693999999999999</v>
      </c>
      <c r="I14" s="76">
        <f>(13145+61449)/1000</f>
        <v>74.593999999999994</v>
      </c>
      <c r="J14" s="76">
        <f>(6549+61449)/1000</f>
        <v>67.998000000000005</v>
      </c>
      <c r="K14" s="76">
        <f>19694/1000</f>
        <v>19.693999999999999</v>
      </c>
      <c r="L14" s="76">
        <f t="shared" si="2"/>
        <v>48.304000000000002</v>
      </c>
      <c r="M14" s="76">
        <f>(6549+61449)/1000</f>
        <v>67.998000000000005</v>
      </c>
      <c r="N14" s="76">
        <f>19694/1000</f>
        <v>19.693999999999999</v>
      </c>
      <c r="O14" s="76">
        <f t="shared" si="3"/>
        <v>48.304000000000002</v>
      </c>
      <c r="P14" s="106">
        <f>(6549+61449)/1000</f>
        <v>67.998000000000005</v>
      </c>
      <c r="Q14" s="106">
        <f>19694/1000</f>
        <v>19.693999999999999</v>
      </c>
      <c r="R14" s="106">
        <f t="shared" si="4"/>
        <v>48.304000000000002</v>
      </c>
      <c r="S14" s="152">
        <f t="shared" si="1"/>
        <v>1.9428000000000001</v>
      </c>
    </row>
    <row r="15" spans="1:19">
      <c r="A15" s="1">
        <v>9</v>
      </c>
      <c r="B15" s="1" t="s">
        <v>101</v>
      </c>
      <c r="C15" s="1" t="s">
        <v>75</v>
      </c>
      <c r="D15" s="1">
        <v>3</v>
      </c>
      <c r="E15" s="105" t="s">
        <v>103</v>
      </c>
      <c r="F15" s="112">
        <f>[2]МКД!$H$123</f>
        <v>126</v>
      </c>
      <c r="G15" s="76">
        <f t="shared" si="0"/>
        <v>228.50700000000001</v>
      </c>
      <c r="H15" s="76">
        <f>126521/1000</f>
        <v>126.521</v>
      </c>
      <c r="I15" s="76">
        <f>101986/1000</f>
        <v>101.986</v>
      </c>
      <c r="J15" s="76">
        <f>(-2601+66896)/1000</f>
        <v>64.295000000000002</v>
      </c>
      <c r="K15" s="76">
        <f>74638/1000</f>
        <v>74.638000000000005</v>
      </c>
      <c r="L15" s="76">
        <f t="shared" si="2"/>
        <v>-10.343000000000004</v>
      </c>
      <c r="M15" s="76">
        <f>(-2601+66896)/1000</f>
        <v>64.295000000000002</v>
      </c>
      <c r="N15" s="76">
        <f>74638/1000</f>
        <v>74.638000000000005</v>
      </c>
      <c r="O15" s="76">
        <f t="shared" si="3"/>
        <v>-10.343000000000004</v>
      </c>
      <c r="P15" s="106">
        <f>(-2601+66896)/1000</f>
        <v>64.295000000000002</v>
      </c>
      <c r="Q15" s="106">
        <f>74638/1000</f>
        <v>74.638000000000005</v>
      </c>
      <c r="R15" s="106">
        <f t="shared" si="4"/>
        <v>-10.343000000000004</v>
      </c>
      <c r="S15" s="152">
        <f t="shared" si="1"/>
        <v>0.51027777777777783</v>
      </c>
    </row>
    <row r="16" spans="1:19">
      <c r="A16" s="1">
        <v>10</v>
      </c>
      <c r="B16" s="1" t="s">
        <v>101</v>
      </c>
      <c r="C16" s="1" t="s">
        <v>92</v>
      </c>
      <c r="D16" s="1">
        <v>41</v>
      </c>
      <c r="E16" s="105"/>
      <c r="F16" s="75">
        <f>[1]МКД!$H$120</f>
        <v>18</v>
      </c>
      <c r="G16" s="76">
        <f t="shared" si="0"/>
        <v>183.62800000000001</v>
      </c>
      <c r="H16" s="76">
        <f>54917/1000</f>
        <v>54.917000000000002</v>
      </c>
      <c r="I16" s="76">
        <f>(121916+6795)/1000</f>
        <v>128.71100000000001</v>
      </c>
      <c r="J16" s="76">
        <f>(48170+11382)/1000</f>
        <v>59.552</v>
      </c>
      <c r="K16" s="76">
        <f>15630/1000</f>
        <v>15.63</v>
      </c>
      <c r="L16" s="76">
        <f t="shared" si="2"/>
        <v>43.921999999999997</v>
      </c>
      <c r="M16" s="76">
        <f>(48170+11382)/1000</f>
        <v>59.552</v>
      </c>
      <c r="N16" s="76">
        <f>15630/1000</f>
        <v>15.63</v>
      </c>
      <c r="O16" s="76">
        <f t="shared" si="3"/>
        <v>43.921999999999997</v>
      </c>
      <c r="P16" s="106">
        <f>(48170+11382)/1000</f>
        <v>59.552</v>
      </c>
      <c r="Q16" s="106">
        <f>15630/1000</f>
        <v>15.63</v>
      </c>
      <c r="R16" s="106">
        <f t="shared" si="4"/>
        <v>43.921999999999997</v>
      </c>
      <c r="S16" s="152">
        <f t="shared" si="1"/>
        <v>3.3084444444444445</v>
      </c>
    </row>
    <row r="17" spans="1:20">
      <c r="A17" s="1">
        <v>11</v>
      </c>
      <c r="B17" s="1" t="s">
        <v>101</v>
      </c>
      <c r="C17" s="1" t="s">
        <v>19</v>
      </c>
      <c r="D17" s="1">
        <v>20</v>
      </c>
      <c r="E17" s="1"/>
      <c r="F17" s="75">
        <f>[1]МКД!$H$168</f>
        <v>19</v>
      </c>
      <c r="G17" s="76">
        <f t="shared" si="0"/>
        <v>149.64100000000002</v>
      </c>
      <c r="H17" s="76">
        <f>62220/1000</f>
        <v>62.22</v>
      </c>
      <c r="I17" s="76">
        <f>(74368+13053)/1000</f>
        <v>87.421000000000006</v>
      </c>
      <c r="J17" s="76">
        <f>(24550+15290)/1000</f>
        <v>39.840000000000003</v>
      </c>
      <c r="K17" s="76">
        <f>19716/1000</f>
        <v>19.716000000000001</v>
      </c>
      <c r="L17" s="76">
        <f t="shared" si="2"/>
        <v>20.124000000000002</v>
      </c>
      <c r="M17" s="76">
        <f>(24550+15290)/1000</f>
        <v>39.840000000000003</v>
      </c>
      <c r="N17" s="76">
        <f>19716/1000</f>
        <v>19.716000000000001</v>
      </c>
      <c r="O17" s="76">
        <f t="shared" si="3"/>
        <v>20.124000000000002</v>
      </c>
      <c r="P17" s="106">
        <f>(24550+15290)/1000</f>
        <v>39.840000000000003</v>
      </c>
      <c r="Q17" s="106">
        <f>19716/1000</f>
        <v>19.716000000000001</v>
      </c>
      <c r="R17" s="106">
        <f t="shared" si="4"/>
        <v>20.124000000000002</v>
      </c>
      <c r="S17" s="152">
        <f t="shared" si="1"/>
        <v>2.0968421052631583</v>
      </c>
    </row>
    <row r="18" spans="1:20" s="143" customFormat="1">
      <c r="A18" s="141">
        <v>12</v>
      </c>
      <c r="B18" s="141" t="s">
        <v>101</v>
      </c>
      <c r="C18" s="1" t="s">
        <v>31</v>
      </c>
      <c r="D18" s="1">
        <v>10</v>
      </c>
      <c r="E18" s="1"/>
      <c r="F18" s="75">
        <f>[1]МКД!$H$13</f>
        <v>13</v>
      </c>
      <c r="G18" s="76">
        <f t="shared" si="0"/>
        <v>36.846000000000004</v>
      </c>
      <c r="H18" s="76">
        <f>9421/1000</f>
        <v>9.4209999999999994</v>
      </c>
      <c r="I18" s="76">
        <f>(28971-1546)/1000</f>
        <v>27.425000000000001</v>
      </c>
      <c r="J18" s="76">
        <f>L18+K18</f>
        <v>36.846000000000004</v>
      </c>
      <c r="K18" s="76">
        <f>9421/1000</f>
        <v>9.4209999999999994</v>
      </c>
      <c r="L18" s="76">
        <f>(28971-1546)/1000</f>
        <v>27.425000000000001</v>
      </c>
      <c r="M18" s="76">
        <f>O18+N18</f>
        <v>36.846000000000004</v>
      </c>
      <c r="N18" s="76">
        <f>9421/1000</f>
        <v>9.4209999999999994</v>
      </c>
      <c r="O18" s="76">
        <f>(28971-1546)/1000</f>
        <v>27.425000000000001</v>
      </c>
      <c r="P18" s="106">
        <f>R18+Q18</f>
        <v>36.846000000000004</v>
      </c>
      <c r="Q18" s="106">
        <f>9421/1000</f>
        <v>9.4209999999999994</v>
      </c>
      <c r="R18" s="106">
        <f>(28971-1546)/1000</f>
        <v>27.425000000000001</v>
      </c>
      <c r="S18" s="152">
        <f t="shared" si="1"/>
        <v>2.8343076923076924</v>
      </c>
    </row>
    <row r="19" spans="1:20" ht="15" customHeight="1">
      <c r="A19" s="1">
        <v>13</v>
      </c>
      <c r="B19" s="1" t="s">
        <v>101</v>
      </c>
      <c r="C19" s="1" t="s">
        <v>19</v>
      </c>
      <c r="D19" s="1">
        <v>41</v>
      </c>
      <c r="E19" s="105" t="s">
        <v>102</v>
      </c>
      <c r="F19" s="75">
        <f>[1]МКД!$H$173</f>
        <v>46</v>
      </c>
      <c r="G19" s="76">
        <f t="shared" si="0"/>
        <v>138.72399999999999</v>
      </c>
      <c r="H19" s="76">
        <f>62094/1000</f>
        <v>62.094000000000001</v>
      </c>
      <c r="I19" s="76">
        <f>(77000-370)/1000</f>
        <v>76.63</v>
      </c>
      <c r="J19" s="76">
        <f>(36643+121)/1000</f>
        <v>36.764000000000003</v>
      </c>
      <c r="K19" s="76">
        <f>16289/1000</f>
        <v>16.289000000000001</v>
      </c>
      <c r="L19" s="76">
        <f>J19-K19</f>
        <v>20.475000000000001</v>
      </c>
      <c r="M19" s="76">
        <f>(36643+121)/1000</f>
        <v>36.764000000000003</v>
      </c>
      <c r="N19" s="76">
        <f>16289/1000</f>
        <v>16.289000000000001</v>
      </c>
      <c r="O19" s="76">
        <f>M19-N19</f>
        <v>20.475000000000001</v>
      </c>
      <c r="P19" s="106">
        <f>(36643+121)/1000</f>
        <v>36.764000000000003</v>
      </c>
      <c r="Q19" s="106">
        <f>16289/1000</f>
        <v>16.289000000000001</v>
      </c>
      <c r="R19" s="106">
        <f>P19-Q19</f>
        <v>20.475000000000001</v>
      </c>
      <c r="S19" s="152">
        <f t="shared" si="1"/>
        <v>0.79921739130434788</v>
      </c>
    </row>
    <row r="20" spans="1:20">
      <c r="A20" s="1">
        <v>14</v>
      </c>
      <c r="B20" s="1" t="s">
        <v>101</v>
      </c>
      <c r="C20" s="1" t="s">
        <v>92</v>
      </c>
      <c r="D20" s="1">
        <v>33</v>
      </c>
      <c r="E20" s="105"/>
      <c r="F20" s="75">
        <f>[1]МКД!$H$115</f>
        <v>18</v>
      </c>
      <c r="G20" s="76">
        <f t="shared" si="0"/>
        <v>123.69</v>
      </c>
      <c r="H20" s="76">
        <f>49229/1000</f>
        <v>49.228999999999999</v>
      </c>
      <c r="I20" s="76">
        <f>(60587+13874)/1000</f>
        <v>74.460999999999999</v>
      </c>
      <c r="J20" s="76">
        <f>(19050+16748)/1000</f>
        <v>35.798000000000002</v>
      </c>
      <c r="K20" s="76">
        <f>16930/1000</f>
        <v>16.93</v>
      </c>
      <c r="L20" s="76">
        <f>J20-K20</f>
        <v>18.868000000000002</v>
      </c>
      <c r="M20" s="76">
        <f>(19050+16748)/1000</f>
        <v>35.798000000000002</v>
      </c>
      <c r="N20" s="76">
        <f>16930/1000</f>
        <v>16.93</v>
      </c>
      <c r="O20" s="76">
        <f>M20-N20</f>
        <v>18.868000000000002</v>
      </c>
      <c r="P20" s="106">
        <f>(19050+16748)/1000</f>
        <v>35.798000000000002</v>
      </c>
      <c r="Q20" s="106">
        <f>16930/1000</f>
        <v>16.93</v>
      </c>
      <c r="R20" s="106">
        <f>P20-Q20</f>
        <v>18.868000000000002</v>
      </c>
      <c r="S20" s="152">
        <f t="shared" si="1"/>
        <v>1.988777777777778</v>
      </c>
    </row>
    <row r="21" spans="1:20">
      <c r="A21" s="1">
        <v>15</v>
      </c>
      <c r="B21" s="1" t="s">
        <v>101</v>
      </c>
      <c r="C21" s="1" t="s">
        <v>31</v>
      </c>
      <c r="D21" s="1">
        <v>8</v>
      </c>
      <c r="E21" s="1"/>
      <c r="F21" s="75">
        <f>[1]МКД!$H$12</f>
        <v>12</v>
      </c>
      <c r="G21" s="76">
        <f t="shared" si="0"/>
        <v>27.616</v>
      </c>
      <c r="H21" s="111">
        <f>8130/1000</f>
        <v>8.1300000000000008</v>
      </c>
      <c r="I21" s="76">
        <f>(17294+2192)/1000</f>
        <v>19.486000000000001</v>
      </c>
      <c r="J21" s="76">
        <f>L21+K21</f>
        <v>27.616</v>
      </c>
      <c r="K21" s="76">
        <f>8130/1000</f>
        <v>8.1300000000000008</v>
      </c>
      <c r="L21" s="76">
        <f>(17294+2192)/1000</f>
        <v>19.486000000000001</v>
      </c>
      <c r="M21" s="76">
        <f>O21+N21</f>
        <v>27.616</v>
      </c>
      <c r="N21" s="76">
        <f>8130/1000</f>
        <v>8.1300000000000008</v>
      </c>
      <c r="O21" s="76">
        <f>(17294+2192)/1000</f>
        <v>19.486000000000001</v>
      </c>
      <c r="P21" s="106">
        <f>R21+Q21</f>
        <v>27.616</v>
      </c>
      <c r="Q21" s="106">
        <f>8130/1000</f>
        <v>8.1300000000000008</v>
      </c>
      <c r="R21" s="106">
        <f>(17294+2192)/1000</f>
        <v>19.486000000000001</v>
      </c>
      <c r="S21" s="152">
        <f t="shared" si="1"/>
        <v>2.3013333333333335</v>
      </c>
    </row>
    <row r="22" spans="1:20">
      <c r="A22" s="1">
        <v>16</v>
      </c>
      <c r="B22" s="1" t="s">
        <v>101</v>
      </c>
      <c r="C22" s="1" t="s">
        <v>92</v>
      </c>
      <c r="D22" s="1">
        <v>31</v>
      </c>
      <c r="E22" s="105"/>
      <c r="F22" s="75">
        <f>[1]МКД!$H$114</f>
        <v>18</v>
      </c>
      <c r="G22" s="76">
        <f t="shared" si="0"/>
        <v>24.494999999999997</v>
      </c>
      <c r="H22" s="76">
        <f>11453/1000</f>
        <v>11.452999999999999</v>
      </c>
      <c r="I22" s="76">
        <f>(8691+4351)/1000</f>
        <v>13.042</v>
      </c>
      <c r="J22" s="76">
        <f>L22+K22</f>
        <v>24.494999999999997</v>
      </c>
      <c r="K22" s="76">
        <f>11453/1000</f>
        <v>11.452999999999999</v>
      </c>
      <c r="L22" s="76">
        <f>(8691+4351)/1000</f>
        <v>13.042</v>
      </c>
      <c r="M22" s="76">
        <f>O22+N22</f>
        <v>24.494999999999997</v>
      </c>
      <c r="N22" s="76">
        <f>11453/1000</f>
        <v>11.452999999999999</v>
      </c>
      <c r="O22" s="76">
        <f>(8691+4351)/1000</f>
        <v>13.042</v>
      </c>
      <c r="P22" s="106">
        <f>R22+Q22</f>
        <v>24.494999999999997</v>
      </c>
      <c r="Q22" s="106">
        <f>11453/1000</f>
        <v>11.452999999999999</v>
      </c>
      <c r="R22" s="106">
        <f>(8691+4351)/1000</f>
        <v>13.042</v>
      </c>
      <c r="S22" s="152">
        <f t="shared" si="1"/>
        <v>1.3608333333333331</v>
      </c>
    </row>
    <row r="23" spans="1:20">
      <c r="A23" s="1">
        <v>17</v>
      </c>
      <c r="B23" s="1" t="s">
        <v>101</v>
      </c>
      <c r="C23" s="1" t="s">
        <v>92</v>
      </c>
      <c r="D23" s="1">
        <v>29</v>
      </c>
      <c r="E23" s="105"/>
      <c r="F23" s="75">
        <f>[1]МКД!$H$113</f>
        <v>18</v>
      </c>
      <c r="G23" s="76">
        <f t="shared" si="0"/>
        <v>17.093</v>
      </c>
      <c r="H23" s="76">
        <f>14663/1000</f>
        <v>14.663</v>
      </c>
      <c r="I23" s="76">
        <f>2430/1000</f>
        <v>2.4300000000000002</v>
      </c>
      <c r="J23" s="76">
        <f>L23+K23</f>
        <v>17.093</v>
      </c>
      <c r="K23" s="76">
        <f>14663/1000</f>
        <v>14.663</v>
      </c>
      <c r="L23" s="76">
        <f>2430/1000</f>
        <v>2.4300000000000002</v>
      </c>
      <c r="M23" s="76">
        <f>O23+N23</f>
        <v>17.093</v>
      </c>
      <c r="N23" s="76">
        <f>14663/1000</f>
        <v>14.663</v>
      </c>
      <c r="O23" s="76">
        <f>2430/1000</f>
        <v>2.4300000000000002</v>
      </c>
      <c r="P23" s="106">
        <f>R23+Q23</f>
        <v>17.093</v>
      </c>
      <c r="Q23" s="106">
        <f>14663/1000</f>
        <v>14.663</v>
      </c>
      <c r="R23" s="106">
        <f>2430/1000</f>
        <v>2.4300000000000002</v>
      </c>
      <c r="S23" s="152">
        <f t="shared" si="1"/>
        <v>0.94961111111111107</v>
      </c>
    </row>
    <row r="24" spans="1:20">
      <c r="A24" s="1">
        <v>18</v>
      </c>
      <c r="B24" s="1" t="s">
        <v>101</v>
      </c>
      <c r="C24" s="1" t="s">
        <v>31</v>
      </c>
      <c r="D24" s="1">
        <v>6</v>
      </c>
      <c r="E24" s="1"/>
      <c r="F24" s="75">
        <f>[1]МКД!$H$10</f>
        <v>12</v>
      </c>
      <c r="G24" s="76">
        <f t="shared" si="0"/>
        <v>15.25</v>
      </c>
      <c r="H24" s="76">
        <f>7799/1000</f>
        <v>7.7990000000000004</v>
      </c>
      <c r="I24" s="76">
        <f>(7889-438)/1000</f>
        <v>7.4509999999999996</v>
      </c>
      <c r="J24" s="76">
        <f>L24+K24</f>
        <v>15.25</v>
      </c>
      <c r="K24" s="76">
        <f>7799/1000</f>
        <v>7.7990000000000004</v>
      </c>
      <c r="L24" s="76">
        <f>(7889-438)/1000</f>
        <v>7.4509999999999996</v>
      </c>
      <c r="M24" s="76">
        <f>O24+N24</f>
        <v>15.25</v>
      </c>
      <c r="N24" s="76">
        <f>7799/1000</f>
        <v>7.7990000000000004</v>
      </c>
      <c r="O24" s="76">
        <f>(7889-438)/1000</f>
        <v>7.4509999999999996</v>
      </c>
      <c r="P24" s="106">
        <f>R24+Q24</f>
        <v>15.25</v>
      </c>
      <c r="Q24" s="106">
        <f>7799/1000</f>
        <v>7.7990000000000004</v>
      </c>
      <c r="R24" s="106">
        <f>(7889-438)/1000</f>
        <v>7.4509999999999996</v>
      </c>
      <c r="S24" s="152">
        <f t="shared" si="1"/>
        <v>1.2708333333333333</v>
      </c>
    </row>
    <row r="25" spans="1:20">
      <c r="A25" s="1">
        <v>19</v>
      </c>
      <c r="B25" s="1" t="s">
        <v>101</v>
      </c>
      <c r="C25" s="1" t="s">
        <v>31</v>
      </c>
      <c r="D25" s="1">
        <v>16</v>
      </c>
      <c r="E25" s="1"/>
      <c r="F25" s="75">
        <f>[1]МКД!$H$16</f>
        <v>16</v>
      </c>
      <c r="G25" s="76">
        <f t="shared" si="0"/>
        <v>25.860999999999997</v>
      </c>
      <c r="H25" s="76">
        <f>11914/1000</f>
        <v>11.914</v>
      </c>
      <c r="I25" s="76">
        <f>(11032+2915)/1000</f>
        <v>13.946999999999999</v>
      </c>
      <c r="J25" s="76">
        <f>(10554+3058)/1000</f>
        <v>13.612</v>
      </c>
      <c r="K25" s="76">
        <f>6801/1000</f>
        <v>6.8010000000000002</v>
      </c>
      <c r="L25" s="76">
        <f>J25-K25</f>
        <v>6.8109999999999999</v>
      </c>
      <c r="M25" s="76">
        <f>(10554+3058)/1000</f>
        <v>13.612</v>
      </c>
      <c r="N25" s="76">
        <f>6801/1000</f>
        <v>6.8010000000000002</v>
      </c>
      <c r="O25" s="76">
        <f>M25-N25</f>
        <v>6.8109999999999999</v>
      </c>
      <c r="P25" s="106">
        <f>(10554+3058)/1000</f>
        <v>13.612</v>
      </c>
      <c r="Q25" s="106">
        <f>6801/1000</f>
        <v>6.8010000000000002</v>
      </c>
      <c r="R25" s="106">
        <f>P25-Q25</f>
        <v>6.8109999999999999</v>
      </c>
      <c r="S25" s="152">
        <f t="shared" si="1"/>
        <v>0.85075000000000001</v>
      </c>
    </row>
    <row r="26" spans="1:20">
      <c r="A26" s="1">
        <v>20</v>
      </c>
      <c r="B26" s="1" t="s">
        <v>101</v>
      </c>
      <c r="C26" s="1" t="s">
        <v>22</v>
      </c>
      <c r="D26" s="1">
        <v>33</v>
      </c>
      <c r="E26" s="105"/>
      <c r="F26" s="75">
        <f>[1]МКД!$H$353</f>
        <v>60</v>
      </c>
      <c r="G26" s="76">
        <f t="shared" si="0"/>
        <v>10.362</v>
      </c>
      <c r="H26" s="76">
        <f>10304/1000</f>
        <v>10.304</v>
      </c>
      <c r="I26" s="76">
        <f>(-7520+7578)/1000</f>
        <v>5.8000000000000003E-2</v>
      </c>
      <c r="J26" s="76">
        <f>L26+K26</f>
        <v>10.362</v>
      </c>
      <c r="K26" s="76">
        <f>10304/1000</f>
        <v>10.304</v>
      </c>
      <c r="L26" s="76">
        <f>(-7520+7578)/1000</f>
        <v>5.8000000000000003E-2</v>
      </c>
      <c r="M26" s="76">
        <f>O26+N26</f>
        <v>10.362</v>
      </c>
      <c r="N26" s="76">
        <f>10304/1000</f>
        <v>10.304</v>
      </c>
      <c r="O26" s="76">
        <f>(-7520+7578)/1000</f>
        <v>5.8000000000000003E-2</v>
      </c>
      <c r="P26" s="106">
        <f>R26+Q26</f>
        <v>10.362</v>
      </c>
      <c r="Q26" s="106">
        <f>10304/1000</f>
        <v>10.304</v>
      </c>
      <c r="R26" s="106">
        <f>(-7520+7578)/1000</f>
        <v>5.8000000000000003E-2</v>
      </c>
      <c r="S26" s="152">
        <f t="shared" si="1"/>
        <v>0.17269999999999999</v>
      </c>
    </row>
    <row r="27" spans="1:20">
      <c r="A27" s="1">
        <v>21</v>
      </c>
      <c r="B27" s="1" t="s">
        <v>101</v>
      </c>
      <c r="C27" s="1" t="s">
        <v>19</v>
      </c>
      <c r="D27" s="1">
        <v>5</v>
      </c>
      <c r="E27" s="1"/>
      <c r="F27" s="75">
        <f>[1]МКД!$H$167</f>
        <v>58</v>
      </c>
      <c r="G27" s="76">
        <f t="shared" si="0"/>
        <v>8.5090000000000003</v>
      </c>
      <c r="H27" s="76">
        <f>6074/1000</f>
        <v>6.0739999999999998</v>
      </c>
      <c r="I27" s="76">
        <f>2435/1000</f>
        <v>2.4350000000000001</v>
      </c>
      <c r="J27" s="76">
        <f>L27+K27</f>
        <v>8.5090000000000003</v>
      </c>
      <c r="K27" s="76">
        <f>6074/1000</f>
        <v>6.0739999999999998</v>
      </c>
      <c r="L27" s="76">
        <f>2435/1000</f>
        <v>2.4350000000000001</v>
      </c>
      <c r="M27" s="76">
        <f>O27+N27</f>
        <v>8.5090000000000003</v>
      </c>
      <c r="N27" s="76">
        <f>6074/1000</f>
        <v>6.0739999999999998</v>
      </c>
      <c r="O27" s="76">
        <f>2435/1000</f>
        <v>2.4350000000000001</v>
      </c>
      <c r="P27" s="106">
        <f>R27+Q27</f>
        <v>8.5090000000000003</v>
      </c>
      <c r="Q27" s="106">
        <f>6074/1000</f>
        <v>6.0739999999999998</v>
      </c>
      <c r="R27" s="106">
        <f>2435/1000</f>
        <v>2.4350000000000001</v>
      </c>
      <c r="S27" s="152">
        <f t="shared" si="1"/>
        <v>0.14670689655172414</v>
      </c>
    </row>
    <row r="28" spans="1:20">
      <c r="A28" s="1">
        <v>22</v>
      </c>
      <c r="B28" s="1" t="s">
        <v>101</v>
      </c>
      <c r="C28" s="1" t="s">
        <v>31</v>
      </c>
      <c r="D28" s="1">
        <v>14</v>
      </c>
      <c r="E28" s="1"/>
      <c r="F28" s="75">
        <f>[1]МКД!$H$15</f>
        <v>24</v>
      </c>
      <c r="G28" s="76">
        <f t="shared" si="0"/>
        <v>0.67199999999999971</v>
      </c>
      <c r="H28" s="76">
        <f>3401/1000</f>
        <v>3.4009999999999998</v>
      </c>
      <c r="I28" s="76">
        <f>(-2623-106)/1000</f>
        <v>-2.7290000000000001</v>
      </c>
      <c r="J28" s="76">
        <f>L28+K28</f>
        <v>0.67199999999999971</v>
      </c>
      <c r="K28" s="76">
        <f>3401/1000</f>
        <v>3.4009999999999998</v>
      </c>
      <c r="L28" s="76">
        <f>(-2623-106)/1000</f>
        <v>-2.7290000000000001</v>
      </c>
      <c r="M28" s="76">
        <f>O28+N28</f>
        <v>0.67199999999999971</v>
      </c>
      <c r="N28" s="76">
        <f>3401/1000</f>
        <v>3.4009999999999998</v>
      </c>
      <c r="O28" s="76">
        <f>(-2623-106)/1000</f>
        <v>-2.7290000000000001</v>
      </c>
      <c r="P28" s="106">
        <f>R28+Q28</f>
        <v>0.67199999999999971</v>
      </c>
      <c r="Q28" s="106">
        <f>3401/1000</f>
        <v>3.4009999999999998</v>
      </c>
      <c r="R28" s="106">
        <f>(-2623-106)/1000</f>
        <v>-2.7290000000000001</v>
      </c>
      <c r="S28" s="152">
        <f t="shared" si="1"/>
        <v>2.7999999999999987E-2</v>
      </c>
    </row>
    <row r="29" spans="1:20">
      <c r="A29" s="1">
        <v>23</v>
      </c>
      <c r="B29" s="1" t="s">
        <v>101</v>
      </c>
      <c r="C29" s="1" t="s">
        <v>104</v>
      </c>
      <c r="D29" s="1">
        <v>3</v>
      </c>
      <c r="E29" s="1"/>
      <c r="F29" s="75">
        <f>[2]МКД!$H$69</f>
        <v>49</v>
      </c>
      <c r="G29" s="76">
        <f t="shared" si="0"/>
        <v>0.66499999999999915</v>
      </c>
      <c r="H29" s="76">
        <f>22486/1000</f>
        <v>22.486000000000001</v>
      </c>
      <c r="I29" s="76">
        <f>(-22506+685)/1000</f>
        <v>-21.821000000000002</v>
      </c>
      <c r="J29" s="76">
        <f>(-20+685)/1000</f>
        <v>0.66500000000000004</v>
      </c>
      <c r="K29" s="76">
        <f>22486/1000</f>
        <v>22.486000000000001</v>
      </c>
      <c r="L29" s="76">
        <f>J29-K29</f>
        <v>-21.821000000000002</v>
      </c>
      <c r="M29" s="76">
        <f>(-20+685)/1000</f>
        <v>0.66500000000000004</v>
      </c>
      <c r="N29" s="76">
        <f>22486/1000</f>
        <v>22.486000000000001</v>
      </c>
      <c r="O29" s="76">
        <f>M29-N29</f>
        <v>-21.821000000000002</v>
      </c>
      <c r="P29" s="106">
        <f>(-20+685)/1000</f>
        <v>0.66500000000000004</v>
      </c>
      <c r="Q29" s="106">
        <v>22.486000000000001</v>
      </c>
      <c r="R29" s="106">
        <f>P29-Q29</f>
        <v>-21.821000000000002</v>
      </c>
      <c r="S29" s="152">
        <f t="shared" si="1"/>
        <v>1.3571428571428573E-2</v>
      </c>
    </row>
    <row r="30" spans="1:20">
      <c r="A30" s="1">
        <v>24</v>
      </c>
      <c r="B30" s="1" t="s">
        <v>101</v>
      </c>
      <c r="C30" s="1" t="s">
        <v>31</v>
      </c>
      <c r="D30" s="1">
        <v>2</v>
      </c>
      <c r="E30" s="1"/>
      <c r="F30" s="75">
        <f>[1]МКД!$H$8</f>
        <v>16</v>
      </c>
      <c r="G30" s="76">
        <f t="shared" si="0"/>
        <v>-0.20900000000000007</v>
      </c>
      <c r="H30" s="76">
        <f>2331/1000</f>
        <v>2.331</v>
      </c>
      <c r="I30" s="76">
        <f>(-1878-662)/1000</f>
        <v>-2.54</v>
      </c>
      <c r="J30" s="76">
        <f>L30+K30</f>
        <v>-0.20900000000000007</v>
      </c>
      <c r="K30" s="76">
        <f>2331/1000</f>
        <v>2.331</v>
      </c>
      <c r="L30" s="76">
        <f>(-1878-662)/1000</f>
        <v>-2.54</v>
      </c>
      <c r="M30" s="76">
        <f>O30+N30</f>
        <v>-0.20900000000000007</v>
      </c>
      <c r="N30" s="76">
        <f>2331/1000</f>
        <v>2.331</v>
      </c>
      <c r="O30" s="76">
        <f>(-1878-662)/1000</f>
        <v>-2.54</v>
      </c>
      <c r="P30" s="106">
        <f>R30+Q30</f>
        <v>-0.20900000000000007</v>
      </c>
      <c r="Q30" s="106">
        <f>2331/1000</f>
        <v>2.331</v>
      </c>
      <c r="R30" s="106">
        <f>(-1878-662)/1000</f>
        <v>-2.54</v>
      </c>
      <c r="S30" s="152">
        <f t="shared" si="1"/>
        <v>-1.3062500000000005E-2</v>
      </c>
    </row>
    <row r="31" spans="1:20">
      <c r="A31" s="1">
        <v>25</v>
      </c>
      <c r="B31" s="1" t="s">
        <v>101</v>
      </c>
      <c r="C31" s="1" t="s">
        <v>74</v>
      </c>
      <c r="D31" s="1">
        <v>34</v>
      </c>
      <c r="E31" s="105"/>
      <c r="F31" s="75">
        <f>[1]МКД!$H$94</f>
        <v>84</v>
      </c>
      <c r="G31" s="76">
        <f t="shared" si="0"/>
        <v>470.33400000000006</v>
      </c>
      <c r="H31" s="76">
        <f>182799/1000</f>
        <v>182.79900000000001</v>
      </c>
      <c r="I31" s="76">
        <f>(252806+34729)/1000</f>
        <v>287.53500000000003</v>
      </c>
      <c r="J31" s="76">
        <f>-38632/1000</f>
        <v>-38.631999999999998</v>
      </c>
      <c r="K31" s="76">
        <f>26273/1000</f>
        <v>26.273</v>
      </c>
      <c r="L31" s="76">
        <f>J31-K31</f>
        <v>-64.905000000000001</v>
      </c>
      <c r="M31" s="76">
        <f>J31</f>
        <v>-38.631999999999998</v>
      </c>
      <c r="N31" s="76">
        <f>26273/1000</f>
        <v>26.273</v>
      </c>
      <c r="O31" s="76">
        <f>M31-N31</f>
        <v>-64.905000000000001</v>
      </c>
      <c r="P31" s="106">
        <f>J31</f>
        <v>-38.631999999999998</v>
      </c>
      <c r="Q31" s="106">
        <f>26273/1000</f>
        <v>26.273</v>
      </c>
      <c r="R31" s="106">
        <f>P31-Q31</f>
        <v>-64.905000000000001</v>
      </c>
      <c r="S31" s="152">
        <f t="shared" si="1"/>
        <v>-0.45990476190476187</v>
      </c>
    </row>
    <row r="32" spans="1:20" s="99" customFormat="1">
      <c r="A32" s="98"/>
      <c r="B32" s="98" t="s">
        <v>81</v>
      </c>
      <c r="C32" s="98"/>
      <c r="D32" s="98"/>
      <c r="E32" s="98"/>
      <c r="F32" s="98">
        <f>SUM(F7:F31)</f>
        <v>1035</v>
      </c>
      <c r="G32" s="113">
        <f t="shared" ref="G32:R32" si="5">SUM(G7:G31)</f>
        <v>5205.7329999999993</v>
      </c>
      <c r="H32" s="113">
        <f t="shared" si="5"/>
        <v>1944.1600000000003</v>
      </c>
      <c r="I32" s="113">
        <f t="shared" si="5"/>
        <v>3261.5729999999994</v>
      </c>
      <c r="J32" s="113">
        <f t="shared" si="5"/>
        <v>2251.933</v>
      </c>
      <c r="K32" s="113">
        <f t="shared" si="5"/>
        <v>985.81899999999996</v>
      </c>
      <c r="L32" s="113">
        <f t="shared" si="5"/>
        <v>1266.1139999999998</v>
      </c>
      <c r="M32" s="113">
        <f>SUM(M7:M31)</f>
        <v>2251.933</v>
      </c>
      <c r="N32" s="113">
        <f t="shared" ref="N32" si="6">SUM(N7:N31)</f>
        <v>985.81899999999996</v>
      </c>
      <c r="O32" s="113">
        <f>SUM(O7:O31)</f>
        <v>1266.1139999999998</v>
      </c>
      <c r="P32" s="113">
        <f t="shared" si="5"/>
        <v>2251.933</v>
      </c>
      <c r="Q32" s="113">
        <f t="shared" si="5"/>
        <v>985.81899999999996</v>
      </c>
      <c r="R32" s="113">
        <f t="shared" si="5"/>
        <v>1266.1139999999998</v>
      </c>
      <c r="S32" s="113"/>
      <c r="T32" s="99">
        <f>P32/A31</f>
        <v>90.07732</v>
      </c>
    </row>
    <row r="34" spans="2:20" s="15" customFormat="1" ht="12.75">
      <c r="B34" s="96" t="s">
        <v>112</v>
      </c>
    </row>
    <row r="35" spans="2:20" s="15" customFormat="1" ht="30" customHeight="1">
      <c r="B35" s="225" t="s">
        <v>119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</sheetData>
  <autoFilter ref="C5:D32"/>
  <sortState ref="C7:S31">
    <sortCondition descending="1" ref="P7:P31"/>
  </sortState>
  <mergeCells count="23">
    <mergeCell ref="C1:S1"/>
    <mergeCell ref="B2:S2"/>
    <mergeCell ref="F4:F6"/>
    <mergeCell ref="G5:G6"/>
    <mergeCell ref="H5:I5"/>
    <mergeCell ref="J5:J6"/>
    <mergeCell ref="K5:L5"/>
    <mergeCell ref="P5:P6"/>
    <mergeCell ref="Q5:R5"/>
    <mergeCell ref="S4:S6"/>
    <mergeCell ref="B35:T35"/>
    <mergeCell ref="A4:A6"/>
    <mergeCell ref="B4:B6"/>
    <mergeCell ref="C4:E4"/>
    <mergeCell ref="G4:I4"/>
    <mergeCell ref="J4:L4"/>
    <mergeCell ref="P4:R4"/>
    <mergeCell ref="C5:C6"/>
    <mergeCell ref="D5:D6"/>
    <mergeCell ref="E5:E6"/>
    <mergeCell ref="M4:O4"/>
    <mergeCell ref="M5:M6"/>
    <mergeCell ref="N5:O5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СВОД</vt:lpstr>
      <vt:lpstr>ООО "Базис"</vt:lpstr>
      <vt:lpstr>ООО "Ненецкая УК"</vt:lpstr>
      <vt:lpstr>ООО "Коми-Сервис"</vt:lpstr>
      <vt:lpstr>ООО "Наш дом"</vt:lpstr>
      <vt:lpstr>ООО УК "Уютный дом"</vt:lpstr>
      <vt:lpstr>ООО УК "Нарьян-Марстрой"</vt:lpstr>
      <vt:lpstr>ООО УК "ПОКиТС"</vt:lpstr>
      <vt:lpstr>Нарьян-Марское МУ ПОК и ТС</vt:lpstr>
      <vt:lpstr>ООО "Аврора"</vt:lpstr>
      <vt:lpstr>ТСЖ "Дворянское гнездо"</vt:lpstr>
      <vt:lpstr>Лист3</vt:lpstr>
      <vt:lpstr>'ООО "Аврора"'!Область_печати</vt:lpstr>
      <vt:lpstr>'ООО УК "ПОКиТС"'!Область_печати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Ekonom2</cp:lastModifiedBy>
  <cp:lastPrinted>2018-10-12T07:16:57Z</cp:lastPrinted>
  <dcterms:created xsi:type="dcterms:W3CDTF">2018-08-07T12:00:09Z</dcterms:created>
  <dcterms:modified xsi:type="dcterms:W3CDTF">2018-10-12T07:39:48Z</dcterms:modified>
</cp:coreProperties>
</file>