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395" windowHeight="10545" tabRatio="968"/>
  </bookViews>
  <sheets>
    <sheet name="СВОД" sheetId="12" r:id="rId1"/>
    <sheet name="ООО &quot;Базис&quot;" sheetId="1" r:id="rId2"/>
    <sheet name="ООО &quot;Ненецкая УК&quot;" sheetId="4" r:id="rId3"/>
    <sheet name="ООО &quot;Коми-Сервис&quot;" sheetId="5" r:id="rId4"/>
    <sheet name="ООО &quot;Наш дом&quot;" sheetId="6" r:id="rId5"/>
    <sheet name="ООО УК &quot;Уютный дом&quot;" sheetId="7" r:id="rId6"/>
    <sheet name="ООО УК &quot;Нарьян-Марстрой&quot;" sheetId="8" r:id="rId7"/>
    <sheet name="ООО УК &quot;ПОКиТС&quot; " sheetId="14" r:id="rId8"/>
    <sheet name="Нарьян-Марское МУ ПОК и ТС" sheetId="10" r:id="rId9"/>
    <sheet name="ООО &quot;Аврора&quot;" sheetId="11" r:id="rId10"/>
    <sheet name="ТСЖ &quot;Дворянское гнездо&quot;" sheetId="13" r:id="rId11"/>
    <sheet name="ООО &quot;Содружество&quot;" sheetId="2" r:id="rId12"/>
    <sheet name="ООО УК &quot;МКД-Сервис&quot;" sheetId="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8" hidden="1">'Нарьян-Марское МУ ПОК и ТС'!$C$5:$D$32</definedName>
    <definedName name="_xlnm._FilterDatabase" localSheetId="1" hidden="1">'ООО "Базис"'!$C$7:$F$46</definedName>
    <definedName name="_xlnm.Print_Area" localSheetId="9">'ООО "Аврора"'!$A$1:$P$43</definedName>
    <definedName name="_xlnm.Print_Area" localSheetId="7">'ООО УК "ПОКиТС" '!$A$1:$F$11</definedName>
    <definedName name="_xlnm.Print_Area" localSheetId="0">СВОД!$A$1:$N$15</definedName>
  </definedNames>
  <calcPr calcId="125725"/>
</workbook>
</file>

<file path=xl/calcChain.xml><?xml version="1.0" encoding="utf-8"?>
<calcChain xmlns="http://schemas.openxmlformats.org/spreadsheetml/2006/main">
  <c r="C15" i="12"/>
  <c r="F168" i="14"/>
  <c r="F40" i="8"/>
  <c r="F10" i="6"/>
  <c r="J8" i="3"/>
  <c r="P29" i="11"/>
  <c r="N30"/>
  <c r="F25"/>
  <c r="M25"/>
  <c r="P11"/>
  <c r="P22"/>
  <c r="F220" i="14"/>
  <c r="P219"/>
  <c r="G220"/>
  <c r="H220"/>
  <c r="I220"/>
  <c r="J220"/>
  <c r="K220"/>
  <c r="L220"/>
  <c r="M220"/>
  <c r="N220"/>
  <c r="O220"/>
  <c r="O14" i="7"/>
  <c r="N14"/>
  <c r="N24" i="5"/>
  <c r="O18"/>
  <c r="N18"/>
  <c r="P20" i="4"/>
  <c r="P33"/>
  <c r="P44" i="1" l="1"/>
  <c r="O46"/>
  <c r="M46"/>
  <c r="F46"/>
  <c r="P27"/>
  <c r="P24"/>
  <c r="O16"/>
  <c r="K16"/>
  <c r="F16"/>
  <c r="F36" i="4"/>
  <c r="H6" i="12"/>
  <c r="O36" i="4"/>
  <c r="N36"/>
  <c r="H36"/>
  <c r="I36"/>
  <c r="O17"/>
  <c r="N17"/>
  <c r="F17"/>
  <c r="M33"/>
  <c r="M32"/>
  <c r="P32" s="1"/>
  <c r="M31"/>
  <c r="P31" s="1"/>
  <c r="M30"/>
  <c r="M29"/>
  <c r="M28"/>
  <c r="M27"/>
  <c r="M26"/>
  <c r="M25"/>
  <c r="M24"/>
  <c r="M23"/>
  <c r="M22"/>
  <c r="M21"/>
  <c r="M20"/>
  <c r="M19"/>
  <c r="M9"/>
  <c r="M16"/>
  <c r="M11"/>
  <c r="M10"/>
  <c r="P10" s="1"/>
  <c r="M13"/>
  <c r="M14"/>
  <c r="M8"/>
  <c r="M12"/>
  <c r="M15"/>
  <c r="M7"/>
  <c r="P35"/>
  <c r="J35"/>
  <c r="G35"/>
  <c r="P34"/>
  <c r="J34"/>
  <c r="G34"/>
  <c r="K32"/>
  <c r="J32" s="1"/>
  <c r="G32"/>
  <c r="J31"/>
  <c r="G31"/>
  <c r="M17" l="1"/>
  <c r="J8" i="12" s="1"/>
  <c r="M36" i="4"/>
  <c r="K8" i="12" s="1"/>
  <c r="P7" i="4"/>
  <c r="M45" i="1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P20" s="1"/>
  <c r="M19"/>
  <c r="M18"/>
  <c r="N10"/>
  <c r="M10" s="1"/>
  <c r="P10" s="1"/>
  <c r="M11"/>
  <c r="M14"/>
  <c r="M15"/>
  <c r="M7"/>
  <c r="M12"/>
  <c r="M13"/>
  <c r="O9"/>
  <c r="M9" s="1"/>
  <c r="M8"/>
  <c r="P8" s="1"/>
  <c r="M16" l="1"/>
  <c r="J12" i="12"/>
  <c r="P8" i="13"/>
  <c r="M8"/>
  <c r="K7" i="12"/>
  <c r="O10" i="6"/>
  <c r="N10"/>
  <c r="M13"/>
  <c r="M7"/>
  <c r="M6"/>
  <c r="M12"/>
  <c r="M9"/>
  <c r="M8"/>
  <c r="M10" s="1"/>
  <c r="J7" i="12" s="1"/>
  <c r="M9" i="13"/>
  <c r="N9"/>
  <c r="O9"/>
  <c r="M32" i="10"/>
  <c r="N32"/>
  <c r="O32"/>
  <c r="N13" i="6"/>
  <c r="O13"/>
  <c r="P21" i="4"/>
  <c r="P22"/>
  <c r="P23"/>
  <c r="P24"/>
  <c r="P25"/>
  <c r="P26"/>
  <c r="P27"/>
  <c r="P28"/>
  <c r="P29"/>
  <c r="P30"/>
  <c r="P19"/>
  <c r="P15"/>
  <c r="P12"/>
  <c r="P8"/>
  <c r="P14"/>
  <c r="P13"/>
  <c r="P11"/>
  <c r="P16"/>
  <c r="P9"/>
  <c r="K6" i="12"/>
  <c r="N46" i="1"/>
  <c r="N16"/>
  <c r="P19"/>
  <c r="P21"/>
  <c r="P22"/>
  <c r="P23"/>
  <c r="P25"/>
  <c r="P26"/>
  <c r="P28"/>
  <c r="P29"/>
  <c r="P30"/>
  <c r="P31"/>
  <c r="P32"/>
  <c r="P33"/>
  <c r="P34"/>
  <c r="P35"/>
  <c r="P36"/>
  <c r="P37"/>
  <c r="P38"/>
  <c r="P39"/>
  <c r="P40"/>
  <c r="P41"/>
  <c r="P42"/>
  <c r="P43"/>
  <c r="P45"/>
  <c r="P18"/>
  <c r="P9"/>
  <c r="P13"/>
  <c r="P12"/>
  <c r="P7"/>
  <c r="P15"/>
  <c r="P14"/>
  <c r="P11"/>
  <c r="M78" i="2"/>
  <c r="N78"/>
  <c r="O78"/>
  <c r="N74"/>
  <c r="O74"/>
  <c r="M16"/>
  <c r="M62"/>
  <c r="M51"/>
  <c r="M49"/>
  <c r="M43"/>
  <c r="M57"/>
  <c r="M53"/>
  <c r="M39"/>
  <c r="M15"/>
  <c r="M32"/>
  <c r="M27"/>
  <c r="M35"/>
  <c r="M30"/>
  <c r="M9"/>
  <c r="M25"/>
  <c r="M40"/>
  <c r="M46"/>
  <c r="M56"/>
  <c r="M67"/>
  <c r="M7"/>
  <c r="M42"/>
  <c r="M64"/>
  <c r="M66"/>
  <c r="M55"/>
  <c r="M14"/>
  <c r="M70"/>
  <c r="M54"/>
  <c r="M31"/>
  <c r="M23"/>
  <c r="M19"/>
  <c r="M17"/>
  <c r="M13"/>
  <c r="M12"/>
  <c r="M6"/>
  <c r="M63"/>
  <c r="M69"/>
  <c r="M71"/>
  <c r="M59"/>
  <c r="M68"/>
  <c r="M48"/>
  <c r="M34"/>
  <c r="M72"/>
  <c r="M37"/>
  <c r="M60"/>
  <c r="M61"/>
  <c r="M24"/>
  <c r="M41"/>
  <c r="M73"/>
  <c r="M65"/>
  <c r="M36"/>
  <c r="M21"/>
  <c r="M52"/>
  <c r="M18"/>
  <c r="M20"/>
  <c r="M10"/>
  <c r="M8"/>
  <c r="M45"/>
  <c r="M58"/>
  <c r="M44"/>
  <c r="M38"/>
  <c r="M33"/>
  <c r="M50"/>
  <c r="M47"/>
  <c r="M11"/>
  <c r="M26"/>
  <c r="M28"/>
  <c r="M22"/>
  <c r="M29"/>
  <c r="M74" l="1"/>
  <c r="J13" i="12" s="1"/>
  <c r="J6"/>
  <c r="G23" i="5"/>
  <c r="G22"/>
  <c r="G21"/>
  <c r="G20"/>
  <c r="G13"/>
  <c r="G10"/>
  <c r="G16"/>
  <c r="G12"/>
  <c r="G7"/>
  <c r="G11"/>
  <c r="G17"/>
  <c r="G9"/>
  <c r="G8"/>
  <c r="G15"/>
  <c r="G14"/>
  <c r="O24"/>
  <c r="L24"/>
  <c r="M23"/>
  <c r="M22"/>
  <c r="M21"/>
  <c r="M20"/>
  <c r="L18"/>
  <c r="M13"/>
  <c r="M10"/>
  <c r="M16"/>
  <c r="M12"/>
  <c r="M7"/>
  <c r="M11"/>
  <c r="M17"/>
  <c r="M9"/>
  <c r="M8"/>
  <c r="M15"/>
  <c r="M14"/>
  <c r="M18" l="1"/>
  <c r="J9" i="12" s="1"/>
  <c r="M24" i="5"/>
  <c r="K9" i="12" s="1"/>
  <c r="L14" i="7"/>
  <c r="M13"/>
  <c r="P13" s="1"/>
  <c r="M9"/>
  <c r="P9" s="1"/>
  <c r="M8"/>
  <c r="P8" s="1"/>
  <c r="M6"/>
  <c r="M10"/>
  <c r="M12"/>
  <c r="M11"/>
  <c r="M7"/>
  <c r="J14" i="12"/>
  <c r="I14" s="1"/>
  <c r="L14" s="1"/>
  <c r="F14"/>
  <c r="G14"/>
  <c r="D14"/>
  <c r="C14" s="1"/>
  <c r="G8" i="3"/>
  <c r="I9"/>
  <c r="H9"/>
  <c r="M14" i="7" l="1"/>
  <c r="J11" i="12" s="1"/>
  <c r="M14"/>
  <c r="F9" i="3"/>
  <c r="G9" l="1"/>
  <c r="K10" i="12" l="1"/>
  <c r="J10"/>
  <c r="G25" i="11"/>
  <c r="F30"/>
  <c r="M30"/>
  <c r="O30"/>
  <c r="L30"/>
  <c r="P28"/>
  <c r="P27"/>
  <c r="P12"/>
  <c r="P20"/>
  <c r="P9"/>
  <c r="P21"/>
  <c r="P10"/>
  <c r="P13"/>
  <c r="P17"/>
  <c r="P8"/>
  <c r="P15"/>
  <c r="P24"/>
  <c r="P19"/>
  <c r="P23"/>
  <c r="P18"/>
  <c r="P14"/>
  <c r="P7"/>
  <c r="P16"/>
  <c r="N25"/>
  <c r="O25"/>
  <c r="L25"/>
  <c r="K5" i="12"/>
  <c r="O40" i="8"/>
  <c r="O49"/>
  <c r="N49"/>
  <c r="M49"/>
  <c r="L49"/>
  <c r="K49"/>
  <c r="J49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71" i="14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D4" i="12" s="1"/>
  <c r="A8" i="14"/>
  <c r="P171"/>
  <c r="P173"/>
  <c r="P174"/>
  <c r="P175"/>
  <c r="P176"/>
  <c r="P180"/>
  <c r="P182"/>
  <c r="P184"/>
  <c r="P185"/>
  <c r="P186"/>
  <c r="P192"/>
  <c r="P193"/>
  <c r="P194"/>
  <c r="P197"/>
  <c r="P198"/>
  <c r="P201"/>
  <c r="P202"/>
  <c r="P203"/>
  <c r="P204"/>
  <c r="P206"/>
  <c r="P207"/>
  <c r="P210"/>
  <c r="P211"/>
  <c r="P212"/>
  <c r="P213"/>
  <c r="P214"/>
  <c r="P215"/>
  <c r="P216"/>
  <c r="P217"/>
  <c r="P218"/>
  <c r="P155"/>
  <c r="P146"/>
  <c r="P148"/>
  <c r="P140"/>
  <c r="P141"/>
  <c r="P152"/>
  <c r="P158"/>
  <c r="P116"/>
  <c r="K4" i="12" l="1"/>
  <c r="M168" i="14"/>
  <c r="N168"/>
  <c r="O168"/>
  <c r="L168"/>
  <c r="P43" i="8"/>
  <c r="P44"/>
  <c r="P42"/>
  <c r="M48"/>
  <c r="M47"/>
  <c r="M46"/>
  <c r="M45"/>
  <c r="M44"/>
  <c r="M43"/>
  <c r="M42"/>
  <c r="M9"/>
  <c r="M36"/>
  <c r="M38"/>
  <c r="M27"/>
  <c r="M34"/>
  <c r="M30"/>
  <c r="M10"/>
  <c r="M17"/>
  <c r="M29"/>
  <c r="M35"/>
  <c r="M37"/>
  <c r="M25"/>
  <c r="M21"/>
  <c r="M39"/>
  <c r="M26"/>
  <c r="M19"/>
  <c r="M20"/>
  <c r="M14"/>
  <c r="M13"/>
  <c r="M24"/>
  <c r="M28"/>
  <c r="M16"/>
  <c r="M18"/>
  <c r="M15"/>
  <c r="M31"/>
  <c r="M23"/>
  <c r="M32"/>
  <c r="M22"/>
  <c r="M12"/>
  <c r="M33"/>
  <c r="M11"/>
  <c r="N40"/>
  <c r="J4" i="12" l="1"/>
  <c r="M40" i="8"/>
  <c r="J5" i="12" s="1"/>
  <c r="E5"/>
  <c r="D5"/>
  <c r="A44" i="8"/>
  <c r="A45" s="1"/>
  <c r="A46" s="1"/>
  <c r="A47" s="1"/>
  <c r="A48" s="1"/>
  <c r="K24" i="5" l="1"/>
  <c r="I24"/>
  <c r="K18"/>
  <c r="J23"/>
  <c r="J22"/>
  <c r="J21"/>
  <c r="J20"/>
  <c r="J24" s="1"/>
  <c r="J13"/>
  <c r="J10"/>
  <c r="J16"/>
  <c r="J12"/>
  <c r="J7"/>
  <c r="J11"/>
  <c r="J17"/>
  <c r="J9"/>
  <c r="J8"/>
  <c r="J15"/>
  <c r="J14"/>
  <c r="L9" i="4"/>
  <c r="K9"/>
  <c r="J16"/>
  <c r="J11"/>
  <c r="K10"/>
  <c r="J10" s="1"/>
  <c r="L13"/>
  <c r="K13"/>
  <c r="J14"/>
  <c r="J8"/>
  <c r="K12"/>
  <c r="J12" s="1"/>
  <c r="J15"/>
  <c r="L7"/>
  <c r="K7"/>
  <c r="J18" i="5" l="1"/>
  <c r="J9" i="4"/>
  <c r="J7"/>
  <c r="K17"/>
  <c r="J13"/>
  <c r="H78" i="2"/>
  <c r="I78"/>
  <c r="J78"/>
  <c r="K78"/>
  <c r="L78"/>
  <c r="F78"/>
  <c r="G77"/>
  <c r="G76"/>
  <c r="J17" i="4" l="1"/>
  <c r="G78" i="2"/>
  <c r="E7" i="12" l="1"/>
  <c r="D7"/>
  <c r="K10" i="6"/>
  <c r="J12"/>
  <c r="J7"/>
  <c r="J6"/>
  <c r="J10" s="1"/>
  <c r="J9"/>
  <c r="J8"/>
  <c r="I13" i="12"/>
  <c r="K14" i="7"/>
  <c r="D11" i="12"/>
  <c r="A8" i="2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"/>
  <c r="J16"/>
  <c r="J62"/>
  <c r="J51"/>
  <c r="J49"/>
  <c r="J43"/>
  <c r="J57"/>
  <c r="J53"/>
  <c r="J39"/>
  <c r="J15"/>
  <c r="J32"/>
  <c r="J27"/>
  <c r="J35"/>
  <c r="J30"/>
  <c r="J9"/>
  <c r="J25"/>
  <c r="J40"/>
  <c r="J46"/>
  <c r="J56"/>
  <c r="J67"/>
  <c r="J7"/>
  <c r="J42"/>
  <c r="J64"/>
  <c r="J66"/>
  <c r="J55"/>
  <c r="J14"/>
  <c r="J70"/>
  <c r="J54"/>
  <c r="J31"/>
  <c r="J23"/>
  <c r="J19"/>
  <c r="J17"/>
  <c r="J13"/>
  <c r="J12"/>
  <c r="J6"/>
  <c r="J63"/>
  <c r="J69"/>
  <c r="J71"/>
  <c r="J59"/>
  <c r="J68"/>
  <c r="J48"/>
  <c r="J34"/>
  <c r="J72"/>
  <c r="J37"/>
  <c r="J60"/>
  <c r="J61"/>
  <c r="J24"/>
  <c r="J41"/>
  <c r="J73"/>
  <c r="J65"/>
  <c r="J36"/>
  <c r="J21"/>
  <c r="J52"/>
  <c r="J18"/>
  <c r="J20"/>
  <c r="J10"/>
  <c r="J8"/>
  <c r="J45"/>
  <c r="J58"/>
  <c r="J44"/>
  <c r="J38"/>
  <c r="J33"/>
  <c r="J50"/>
  <c r="J47"/>
  <c r="J11"/>
  <c r="J26"/>
  <c r="J28"/>
  <c r="J22"/>
  <c r="J29"/>
  <c r="K168" i="14" l="1"/>
  <c r="J43"/>
  <c r="J92"/>
  <c r="J38"/>
  <c r="J144"/>
  <c r="J94"/>
  <c r="J149"/>
  <c r="J219"/>
  <c r="J151"/>
  <c r="J66"/>
  <c r="J135"/>
  <c r="J24"/>
  <c r="J115"/>
  <c r="J88"/>
  <c r="J51"/>
  <c r="J13"/>
  <c r="J124"/>
  <c r="J31"/>
  <c r="J12"/>
  <c r="J110"/>
  <c r="J37"/>
  <c r="J30"/>
  <c r="J28"/>
  <c r="J218"/>
  <c r="J217"/>
  <c r="J86"/>
  <c r="J134"/>
  <c r="J113"/>
  <c r="J216"/>
  <c r="J212"/>
  <c r="J215"/>
  <c r="J214"/>
  <c r="J213"/>
  <c r="J19"/>
  <c r="J211"/>
  <c r="J209"/>
  <c r="J208"/>
  <c r="J117"/>
  <c r="J80"/>
  <c r="J25"/>
  <c r="J137"/>
  <c r="J142"/>
  <c r="J205"/>
  <c r="J96"/>
  <c r="J102"/>
  <c r="J71"/>
  <c r="J48"/>
  <c r="J202"/>
  <c r="J201"/>
  <c r="J72"/>
  <c r="J204"/>
  <c r="J203"/>
  <c r="J167"/>
  <c r="J67"/>
  <c r="J98"/>
  <c r="J159"/>
  <c r="J161"/>
  <c r="J200"/>
  <c r="J199"/>
  <c r="J9"/>
  <c r="J145"/>
  <c r="J116"/>
  <c r="J97"/>
  <c r="J78"/>
  <c r="J198"/>
  <c r="J197"/>
  <c r="J192"/>
  <c r="J53"/>
  <c r="J166"/>
  <c r="J196"/>
  <c r="J29"/>
  <c r="J23"/>
  <c r="J195"/>
  <c r="J10"/>
  <c r="J119"/>
  <c r="J18"/>
  <c r="J57"/>
  <c r="J130"/>
  <c r="J14"/>
  <c r="J93"/>
  <c r="J20"/>
  <c r="J34"/>
  <c r="J194"/>
  <c r="J111"/>
  <c r="J193"/>
  <c r="J129"/>
  <c r="J65"/>
  <c r="J58"/>
  <c r="J189"/>
  <c r="J147"/>
  <c r="J45"/>
  <c r="J191"/>
  <c r="J162"/>
  <c r="J126"/>
  <c r="J120"/>
  <c r="J8"/>
  <c r="J158"/>
  <c r="J101"/>
  <c r="J190"/>
  <c r="J35"/>
  <c r="J188"/>
  <c r="J17"/>
  <c r="J47"/>
  <c r="J84"/>
  <c r="J128"/>
  <c r="J133"/>
  <c r="J87"/>
  <c r="J32"/>
  <c r="J16"/>
  <c r="J104"/>
  <c r="J153"/>
  <c r="J27"/>
  <c r="J185"/>
  <c r="J187"/>
  <c r="J36"/>
  <c r="J118"/>
  <c r="J131"/>
  <c r="J186"/>
  <c r="J81"/>
  <c r="J22"/>
  <c r="J50"/>
  <c r="J54"/>
  <c r="J77"/>
  <c r="J184"/>
  <c r="J63"/>
  <c r="J152"/>
  <c r="J160"/>
  <c r="J157"/>
  <c r="J182"/>
  <c r="J89"/>
  <c r="J164"/>
  <c r="J26"/>
  <c r="J183"/>
  <c r="J64"/>
  <c r="J163"/>
  <c r="J150"/>
  <c r="J181"/>
  <c r="J141"/>
  <c r="J180"/>
  <c r="J121"/>
  <c r="J100"/>
  <c r="J154"/>
  <c r="J139"/>
  <c r="J140"/>
  <c r="J70"/>
  <c r="J148"/>
  <c r="J105"/>
  <c r="J179"/>
  <c r="J75"/>
  <c r="J49"/>
  <c r="J112"/>
  <c r="J178"/>
  <c r="J177"/>
  <c r="J11"/>
  <c r="J108"/>
  <c r="J69"/>
  <c r="J60"/>
  <c r="J176"/>
  <c r="J61"/>
  <c r="J106"/>
  <c r="J39"/>
  <c r="J82"/>
  <c r="J73"/>
  <c r="J109"/>
  <c r="J59"/>
  <c r="J127"/>
  <c r="J123"/>
  <c r="J210"/>
  <c r="J206"/>
  <c r="J207"/>
  <c r="J41"/>
  <c r="J62"/>
  <c r="J7"/>
  <c r="J175"/>
  <c r="J143"/>
  <c r="J85"/>
  <c r="J146"/>
  <c r="J46"/>
  <c r="J138"/>
  <c r="J174"/>
  <c r="J103"/>
  <c r="J15"/>
  <c r="J173"/>
  <c r="J44"/>
  <c r="J79"/>
  <c r="J132"/>
  <c r="J21"/>
  <c r="J40"/>
  <c r="J55"/>
  <c r="J52"/>
  <c r="J95"/>
  <c r="J83"/>
  <c r="J33"/>
  <c r="J165"/>
  <c r="J125"/>
  <c r="J13" i="7" l="1"/>
  <c r="J9"/>
  <c r="J8"/>
  <c r="J6"/>
  <c r="J10"/>
  <c r="J12"/>
  <c r="J11"/>
  <c r="J7"/>
  <c r="G6"/>
  <c r="A11"/>
  <c r="A12" s="1"/>
  <c r="A13" s="1"/>
  <c r="J14" l="1"/>
  <c r="J172" i="14"/>
  <c r="J74"/>
  <c r="J76"/>
  <c r="J171"/>
  <c r="J170"/>
  <c r="J107" l="1"/>
  <c r="J42"/>
  <c r="J156"/>
  <c r="J155"/>
  <c r="J114"/>
  <c r="J136"/>
  <c r="J99"/>
  <c r="J122"/>
  <c r="J91"/>
  <c r="J56"/>
  <c r="J68"/>
  <c r="J90"/>
  <c r="J168" l="1"/>
  <c r="J32" i="10"/>
  <c r="K32"/>
  <c r="L32"/>
  <c r="J74" i="2"/>
  <c r="K74"/>
  <c r="L74"/>
  <c r="L10" i="6"/>
  <c r="G13"/>
  <c r="H13"/>
  <c r="I13"/>
  <c r="J13"/>
  <c r="K13"/>
  <c r="L13"/>
  <c r="A8"/>
  <c r="I49" i="8"/>
  <c r="J48"/>
  <c r="J47"/>
  <c r="J46"/>
  <c r="J45"/>
  <c r="J44"/>
  <c r="J43"/>
  <c r="J42"/>
  <c r="K40"/>
  <c r="L40"/>
  <c r="J9"/>
  <c r="J36"/>
  <c r="J38"/>
  <c r="J27"/>
  <c r="J34"/>
  <c r="J30"/>
  <c r="J10"/>
  <c r="J17"/>
  <c r="J29"/>
  <c r="J35"/>
  <c r="J37"/>
  <c r="J25"/>
  <c r="J21"/>
  <c r="J39"/>
  <c r="J26"/>
  <c r="J19"/>
  <c r="J20"/>
  <c r="J14"/>
  <c r="J13"/>
  <c r="J24"/>
  <c r="J28"/>
  <c r="J16"/>
  <c r="J18"/>
  <c r="J15"/>
  <c r="J31"/>
  <c r="J23"/>
  <c r="J32"/>
  <c r="J22"/>
  <c r="J12"/>
  <c r="J33"/>
  <c r="J11"/>
  <c r="H49"/>
  <c r="J40" l="1"/>
  <c r="J30" i="11"/>
  <c r="K30"/>
  <c r="J25"/>
  <c r="K25"/>
  <c r="K36" i="4"/>
  <c r="L36"/>
  <c r="J33"/>
  <c r="J30"/>
  <c r="J29"/>
  <c r="J28"/>
  <c r="J27"/>
  <c r="J26"/>
  <c r="J25"/>
  <c r="J24"/>
  <c r="J23"/>
  <c r="J22"/>
  <c r="J21"/>
  <c r="J20"/>
  <c r="J19"/>
  <c r="L17"/>
  <c r="J36" l="1"/>
  <c r="K46" i="1"/>
  <c r="L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L10"/>
  <c r="K10"/>
  <c r="L11"/>
  <c r="K11"/>
  <c r="L14"/>
  <c r="J14" s="1"/>
  <c r="L15"/>
  <c r="J15" s="1"/>
  <c r="L7"/>
  <c r="K7"/>
  <c r="L12"/>
  <c r="K12"/>
  <c r="L13"/>
  <c r="J13" s="1"/>
  <c r="L9"/>
  <c r="K9"/>
  <c r="L8"/>
  <c r="K8"/>
  <c r="J12" l="1"/>
  <c r="J9"/>
  <c r="J8"/>
  <c r="J7"/>
  <c r="J46"/>
  <c r="J11"/>
  <c r="L16"/>
  <c r="J10"/>
  <c r="G28" i="2"/>
  <c r="G29"/>
  <c r="G22"/>
  <c r="G26"/>
  <c r="G11"/>
  <c r="G47"/>
  <c r="G50"/>
  <c r="G33"/>
  <c r="G38"/>
  <c r="G44"/>
  <c r="G58"/>
  <c r="G45"/>
  <c r="G8"/>
  <c r="G10"/>
  <c r="G20"/>
  <c r="G18"/>
  <c r="G52"/>
  <c r="G21"/>
  <c r="G36"/>
  <c r="G65"/>
  <c r="G73"/>
  <c r="G41"/>
  <c r="G24"/>
  <c r="G61"/>
  <c r="G60"/>
  <c r="G37"/>
  <c r="G72"/>
  <c r="G34"/>
  <c r="G48"/>
  <c r="G68"/>
  <c r="G59"/>
  <c r="G71"/>
  <c r="G69"/>
  <c r="G63"/>
  <c r="G6"/>
  <c r="G12"/>
  <c r="G13"/>
  <c r="G17"/>
  <c r="G19"/>
  <c r="G23"/>
  <c r="G31"/>
  <c r="G54"/>
  <c r="G70"/>
  <c r="G14"/>
  <c r="G55"/>
  <c r="G66"/>
  <c r="G64"/>
  <c r="G42"/>
  <c r="G7"/>
  <c r="G67"/>
  <c r="G56"/>
  <c r="G46"/>
  <c r="G40"/>
  <c r="G25"/>
  <c r="G9"/>
  <c r="G30"/>
  <c r="G35"/>
  <c r="G27"/>
  <c r="G32"/>
  <c r="G15"/>
  <c r="G39"/>
  <c r="G53"/>
  <c r="G57"/>
  <c r="G43"/>
  <c r="G49"/>
  <c r="G51"/>
  <c r="G62"/>
  <c r="G16"/>
  <c r="I74"/>
  <c r="G219" i="14"/>
  <c r="G218"/>
  <c r="G217"/>
  <c r="G216"/>
  <c r="G215"/>
  <c r="I214"/>
  <c r="G214" s="1"/>
  <c r="G213"/>
  <c r="G212"/>
  <c r="G211"/>
  <c r="G210"/>
  <c r="G207"/>
  <c r="I206"/>
  <c r="G205"/>
  <c r="F205"/>
  <c r="P205" s="1"/>
  <c r="G204"/>
  <c r="G203"/>
  <c r="G202"/>
  <c r="G201"/>
  <c r="G200"/>
  <c r="F200"/>
  <c r="P200" s="1"/>
  <c r="G198"/>
  <c r="G197"/>
  <c r="G196"/>
  <c r="F196"/>
  <c r="P196" s="1"/>
  <c r="G195"/>
  <c r="F195"/>
  <c r="P195" s="1"/>
  <c r="G194"/>
  <c r="G193"/>
  <c r="G192"/>
  <c r="G191"/>
  <c r="F191"/>
  <c r="P191" s="1"/>
  <c r="G190"/>
  <c r="F190"/>
  <c r="P190" s="1"/>
  <c r="G189"/>
  <c r="F189"/>
  <c r="P189" s="1"/>
  <c r="G188"/>
  <c r="F188"/>
  <c r="P188" s="1"/>
  <c r="G187"/>
  <c r="F187"/>
  <c r="P187" s="1"/>
  <c r="G186"/>
  <c r="G185"/>
  <c r="G184"/>
  <c r="G183"/>
  <c r="F183"/>
  <c r="P183" s="1"/>
  <c r="G182"/>
  <c r="G181"/>
  <c r="F181"/>
  <c r="P181" s="1"/>
  <c r="G180"/>
  <c r="G179"/>
  <c r="F179"/>
  <c r="P179" s="1"/>
  <c r="G178"/>
  <c r="F178"/>
  <c r="P178" s="1"/>
  <c r="G177"/>
  <c r="F177"/>
  <c r="P177" s="1"/>
  <c r="G176"/>
  <c r="G175"/>
  <c r="H174"/>
  <c r="G173"/>
  <c r="E4" i="12"/>
  <c r="G171" i="14"/>
  <c r="I168"/>
  <c r="H168"/>
  <c r="G43"/>
  <c r="F43"/>
  <c r="P43" s="1"/>
  <c r="G92"/>
  <c r="F92"/>
  <c r="P92" s="1"/>
  <c r="G38"/>
  <c r="F38"/>
  <c r="P38" s="1"/>
  <c r="G144"/>
  <c r="F144"/>
  <c r="P144" s="1"/>
  <c r="G94"/>
  <c r="F94"/>
  <c r="P94" s="1"/>
  <c r="G149"/>
  <c r="F149"/>
  <c r="P149" s="1"/>
  <c r="G151"/>
  <c r="F151"/>
  <c r="P151" s="1"/>
  <c r="G66"/>
  <c r="F66"/>
  <c r="P66" s="1"/>
  <c r="G135"/>
  <c r="F135"/>
  <c r="P135" s="1"/>
  <c r="G24"/>
  <c r="F24"/>
  <c r="P24" s="1"/>
  <c r="G115"/>
  <c r="F115"/>
  <c r="P115" s="1"/>
  <c r="G88"/>
  <c r="F88"/>
  <c r="P88" s="1"/>
  <c r="G51"/>
  <c r="F51"/>
  <c r="P51" s="1"/>
  <c r="G13"/>
  <c r="F13"/>
  <c r="P13" s="1"/>
  <c r="G124"/>
  <c r="F124"/>
  <c r="P124" s="1"/>
  <c r="G31"/>
  <c r="F31"/>
  <c r="P31" s="1"/>
  <c r="G12"/>
  <c r="F12"/>
  <c r="P12" s="1"/>
  <c r="G110"/>
  <c r="F110"/>
  <c r="P110" s="1"/>
  <c r="G37"/>
  <c r="F37"/>
  <c r="P37" s="1"/>
  <c r="G30"/>
  <c r="F30"/>
  <c r="P30" s="1"/>
  <c r="G28"/>
  <c r="F28"/>
  <c r="P28" s="1"/>
  <c r="G86"/>
  <c r="F86"/>
  <c r="P86" s="1"/>
  <c r="G134"/>
  <c r="F134"/>
  <c r="P134" s="1"/>
  <c r="G113"/>
  <c r="F113"/>
  <c r="P113" s="1"/>
  <c r="G19"/>
  <c r="F19"/>
  <c r="P19" s="1"/>
  <c r="G80"/>
  <c r="F80"/>
  <c r="P80" s="1"/>
  <c r="G209"/>
  <c r="F209"/>
  <c r="P209" s="1"/>
  <c r="G208"/>
  <c r="F208"/>
  <c r="P208" s="1"/>
  <c r="G117"/>
  <c r="F117"/>
  <c r="P117" s="1"/>
  <c r="G71"/>
  <c r="F71"/>
  <c r="P71" s="1"/>
  <c r="G25"/>
  <c r="F25"/>
  <c r="P25" s="1"/>
  <c r="G137"/>
  <c r="F137"/>
  <c r="P137" s="1"/>
  <c r="G142"/>
  <c r="F142"/>
  <c r="P142" s="1"/>
  <c r="G96"/>
  <c r="F96"/>
  <c r="P96" s="1"/>
  <c r="G102"/>
  <c r="F102"/>
  <c r="P102" s="1"/>
  <c r="G48"/>
  <c r="F48"/>
  <c r="P48" s="1"/>
  <c r="G72"/>
  <c r="F72"/>
  <c r="P72" s="1"/>
  <c r="G167"/>
  <c r="F167"/>
  <c r="P167" s="1"/>
  <c r="G67"/>
  <c r="F67"/>
  <c r="P67" s="1"/>
  <c r="G98"/>
  <c r="F98"/>
  <c r="P98" s="1"/>
  <c r="G159"/>
  <c r="F159"/>
  <c r="P159" s="1"/>
  <c r="G161"/>
  <c r="F161"/>
  <c r="P161" s="1"/>
  <c r="G9"/>
  <c r="F9"/>
  <c r="P9" s="1"/>
  <c r="G199"/>
  <c r="F199"/>
  <c r="P199" s="1"/>
  <c r="G145"/>
  <c r="F145"/>
  <c r="P145" s="1"/>
  <c r="G116"/>
  <c r="G97"/>
  <c r="F97"/>
  <c r="P97" s="1"/>
  <c r="G78"/>
  <c r="F78"/>
  <c r="P78" s="1"/>
  <c r="G29"/>
  <c r="F29"/>
  <c r="P29" s="1"/>
  <c r="G23"/>
  <c r="F23"/>
  <c r="P23" s="1"/>
  <c r="G10"/>
  <c r="F10"/>
  <c r="P10" s="1"/>
  <c r="G119"/>
  <c r="F119"/>
  <c r="P119" s="1"/>
  <c r="G18"/>
  <c r="F18"/>
  <c r="P18" s="1"/>
  <c r="G57"/>
  <c r="F57"/>
  <c r="P57" s="1"/>
  <c r="G130"/>
  <c r="F130"/>
  <c r="P130" s="1"/>
  <c r="G14"/>
  <c r="F14"/>
  <c r="P14" s="1"/>
  <c r="G93"/>
  <c r="F93"/>
  <c r="P93" s="1"/>
  <c r="G20"/>
  <c r="F20"/>
  <c r="P20" s="1"/>
  <c r="G34"/>
  <c r="F34"/>
  <c r="P34" s="1"/>
  <c r="G111"/>
  <c r="F111"/>
  <c r="P111" s="1"/>
  <c r="G129"/>
  <c r="F129"/>
  <c r="P129" s="1"/>
  <c r="G65"/>
  <c r="F65"/>
  <c r="P65" s="1"/>
  <c r="G53"/>
  <c r="F53"/>
  <c r="P53" s="1"/>
  <c r="G166"/>
  <c r="F166"/>
  <c r="P166" s="1"/>
  <c r="G58"/>
  <c r="F58"/>
  <c r="P58" s="1"/>
  <c r="G45"/>
  <c r="F45"/>
  <c r="P45" s="1"/>
  <c r="G162"/>
  <c r="F162"/>
  <c r="P162" s="1"/>
  <c r="G126"/>
  <c r="F126"/>
  <c r="P126" s="1"/>
  <c r="G120"/>
  <c r="F120"/>
  <c r="P120" s="1"/>
  <c r="G8"/>
  <c r="F8"/>
  <c r="P8" s="1"/>
  <c r="G158"/>
  <c r="G101"/>
  <c r="F101"/>
  <c r="P101" s="1"/>
  <c r="G35"/>
  <c r="F35"/>
  <c r="P35" s="1"/>
  <c r="G147"/>
  <c r="F147"/>
  <c r="P147" s="1"/>
  <c r="G47"/>
  <c r="F47"/>
  <c r="P47" s="1"/>
  <c r="G128"/>
  <c r="F128"/>
  <c r="P128" s="1"/>
  <c r="G133"/>
  <c r="F133"/>
  <c r="P133" s="1"/>
  <c r="G87"/>
  <c r="F87"/>
  <c r="P87" s="1"/>
  <c r="G17"/>
  <c r="F17"/>
  <c r="P17" s="1"/>
  <c r="G84"/>
  <c r="F84"/>
  <c r="P84" s="1"/>
  <c r="G32"/>
  <c r="F32"/>
  <c r="P32" s="1"/>
  <c r="G16"/>
  <c r="F16"/>
  <c r="P16" s="1"/>
  <c r="G36"/>
  <c r="F36"/>
  <c r="P36" s="1"/>
  <c r="G118"/>
  <c r="F118"/>
  <c r="P118" s="1"/>
  <c r="G131"/>
  <c r="F131"/>
  <c r="P131" s="1"/>
  <c r="G81"/>
  <c r="F81"/>
  <c r="P81" s="1"/>
  <c r="G22"/>
  <c r="F22"/>
  <c r="P22" s="1"/>
  <c r="G104"/>
  <c r="F104"/>
  <c r="P104" s="1"/>
  <c r="G153"/>
  <c r="F153"/>
  <c r="P153" s="1"/>
  <c r="G27"/>
  <c r="F27"/>
  <c r="P27" s="1"/>
  <c r="G50"/>
  <c r="F50"/>
  <c r="P50" s="1"/>
  <c r="G54"/>
  <c r="F54"/>
  <c r="P54" s="1"/>
  <c r="G157"/>
  <c r="F157"/>
  <c r="P157" s="1"/>
  <c r="G77"/>
  <c r="F77"/>
  <c r="P77" s="1"/>
  <c r="G63"/>
  <c r="F63"/>
  <c r="P63" s="1"/>
  <c r="G152"/>
  <c r="G160"/>
  <c r="F160"/>
  <c r="P160" s="1"/>
  <c r="G64"/>
  <c r="F64"/>
  <c r="P64" s="1"/>
  <c r="G163"/>
  <c r="F163"/>
  <c r="P163" s="1"/>
  <c r="G150"/>
  <c r="F150"/>
  <c r="P150" s="1"/>
  <c r="G89"/>
  <c r="F89"/>
  <c r="P89" s="1"/>
  <c r="G164"/>
  <c r="F164"/>
  <c r="P164" s="1"/>
  <c r="G26"/>
  <c r="F26"/>
  <c r="P26" s="1"/>
  <c r="G141"/>
  <c r="G121"/>
  <c r="F121"/>
  <c r="P121" s="1"/>
  <c r="G100"/>
  <c r="F100"/>
  <c r="P100" s="1"/>
  <c r="G154"/>
  <c r="F154"/>
  <c r="P154" s="1"/>
  <c r="G139"/>
  <c r="F139"/>
  <c r="P139" s="1"/>
  <c r="G140"/>
  <c r="G70"/>
  <c r="F70"/>
  <c r="P70" s="1"/>
  <c r="G148"/>
  <c r="G105"/>
  <c r="F105"/>
  <c r="P105" s="1"/>
  <c r="G75"/>
  <c r="F75"/>
  <c r="P75" s="1"/>
  <c r="G49"/>
  <c r="F49"/>
  <c r="P49" s="1"/>
  <c r="G112"/>
  <c r="F112"/>
  <c r="P112" s="1"/>
  <c r="G11"/>
  <c r="F11"/>
  <c r="P11" s="1"/>
  <c r="G108"/>
  <c r="F108"/>
  <c r="P108" s="1"/>
  <c r="G69"/>
  <c r="F69"/>
  <c r="P69" s="1"/>
  <c r="G60"/>
  <c r="F60"/>
  <c r="P60" s="1"/>
  <c r="G61"/>
  <c r="F61"/>
  <c r="P61" s="1"/>
  <c r="G73"/>
  <c r="F73"/>
  <c r="P73" s="1"/>
  <c r="G109"/>
  <c r="F109"/>
  <c r="P109" s="1"/>
  <c r="G59"/>
  <c r="F59"/>
  <c r="P59" s="1"/>
  <c r="G127"/>
  <c r="F127"/>
  <c r="P127" s="1"/>
  <c r="G123"/>
  <c r="F123"/>
  <c r="P123" s="1"/>
  <c r="G106"/>
  <c r="F106"/>
  <c r="P106" s="1"/>
  <c r="G39"/>
  <c r="F39"/>
  <c r="P39" s="1"/>
  <c r="G82"/>
  <c r="F82"/>
  <c r="P82" s="1"/>
  <c r="G41"/>
  <c r="F41"/>
  <c r="P41" s="1"/>
  <c r="G62"/>
  <c r="F62"/>
  <c r="P62" s="1"/>
  <c r="G7"/>
  <c r="F7"/>
  <c r="P7" s="1"/>
  <c r="G143"/>
  <c r="F143"/>
  <c r="P143" s="1"/>
  <c r="G85"/>
  <c r="F85"/>
  <c r="P85" s="1"/>
  <c r="G146"/>
  <c r="G46"/>
  <c r="F46"/>
  <c r="P46" s="1"/>
  <c r="G103"/>
  <c r="F103"/>
  <c r="P103" s="1"/>
  <c r="G138"/>
  <c r="F138"/>
  <c r="P138" s="1"/>
  <c r="G15"/>
  <c r="F15"/>
  <c r="G40"/>
  <c r="F40"/>
  <c r="P40" s="1"/>
  <c r="G55"/>
  <c r="F55"/>
  <c r="P55" s="1"/>
  <c r="G52"/>
  <c r="F52"/>
  <c r="P52" s="1"/>
  <c r="G44"/>
  <c r="F44"/>
  <c r="P44" s="1"/>
  <c r="G79"/>
  <c r="F79"/>
  <c r="P79" s="1"/>
  <c r="G132"/>
  <c r="F132"/>
  <c r="P132" s="1"/>
  <c r="G21"/>
  <c r="F21"/>
  <c r="P21" s="1"/>
  <c r="G83"/>
  <c r="F83"/>
  <c r="P83" s="1"/>
  <c r="G95"/>
  <c r="F95"/>
  <c r="P95" s="1"/>
  <c r="G165"/>
  <c r="F165"/>
  <c r="P165" s="1"/>
  <c r="G172"/>
  <c r="F172"/>
  <c r="P172" s="1"/>
  <c r="G76"/>
  <c r="F76"/>
  <c r="P76" s="1"/>
  <c r="G107"/>
  <c r="F107"/>
  <c r="P107" s="1"/>
  <c r="G42"/>
  <c r="F42"/>
  <c r="P42" s="1"/>
  <c r="G156"/>
  <c r="F156"/>
  <c r="P156" s="1"/>
  <c r="G155"/>
  <c r="G114"/>
  <c r="F114"/>
  <c r="P114" s="1"/>
  <c r="G122"/>
  <c r="F122"/>
  <c r="P122" s="1"/>
  <c r="G91"/>
  <c r="F91"/>
  <c r="P91" s="1"/>
  <c r="G56"/>
  <c r="F56"/>
  <c r="P56" s="1"/>
  <c r="G68"/>
  <c r="F68"/>
  <c r="P68" s="1"/>
  <c r="G33"/>
  <c r="F33"/>
  <c r="P33" s="1"/>
  <c r="G125"/>
  <c r="F125"/>
  <c r="P125" s="1"/>
  <c r="G74"/>
  <c r="F74"/>
  <c r="P74" s="1"/>
  <c r="G170"/>
  <c r="F170"/>
  <c r="P170" s="1"/>
  <c r="G136"/>
  <c r="F136"/>
  <c r="P136" s="1"/>
  <c r="G99"/>
  <c r="F99"/>
  <c r="P99" s="1"/>
  <c r="G90"/>
  <c r="F90"/>
  <c r="P90" s="1"/>
  <c r="P15" l="1"/>
  <c r="G4" i="12"/>
  <c r="M4" s="1"/>
  <c r="K15"/>
  <c r="J16" i="1"/>
  <c r="G174" i="14"/>
  <c r="G168"/>
  <c r="H4" i="12"/>
  <c r="N4" s="1"/>
  <c r="G74" i="2"/>
  <c r="H74"/>
  <c r="G206" i="14"/>
  <c r="G8" i="12"/>
  <c r="M8" s="1"/>
  <c r="G33" i="4"/>
  <c r="G30"/>
  <c r="G29"/>
  <c r="G28"/>
  <c r="G27"/>
  <c r="G26"/>
  <c r="G25"/>
  <c r="G24"/>
  <c r="G23"/>
  <c r="G22"/>
  <c r="G21"/>
  <c r="G20"/>
  <c r="G19"/>
  <c r="G9"/>
  <c r="G11"/>
  <c r="G10"/>
  <c r="G13"/>
  <c r="G14"/>
  <c r="H8"/>
  <c r="G12"/>
  <c r="G15"/>
  <c r="I7"/>
  <c r="G6" i="12"/>
  <c r="M6" s="1"/>
  <c r="G45" i="1"/>
  <c r="G44"/>
  <c r="I43"/>
  <c r="H43"/>
  <c r="I42"/>
  <c r="H42"/>
  <c r="I41"/>
  <c r="H41"/>
  <c r="I40"/>
  <c r="H40"/>
  <c r="G39"/>
  <c r="I38"/>
  <c r="H38"/>
  <c r="I37"/>
  <c r="H37"/>
  <c r="G36"/>
  <c r="I35"/>
  <c r="H35"/>
  <c r="I34"/>
  <c r="H34"/>
  <c r="G33"/>
  <c r="G32"/>
  <c r="I31"/>
  <c r="H31"/>
  <c r="I30"/>
  <c r="H30"/>
  <c r="I29"/>
  <c r="H29"/>
  <c r="I28"/>
  <c r="H28"/>
  <c r="I27"/>
  <c r="H27"/>
  <c r="I26"/>
  <c r="H26"/>
  <c r="I25"/>
  <c r="H25"/>
  <c r="H24"/>
  <c r="G24" s="1"/>
  <c r="G23"/>
  <c r="I22"/>
  <c r="H22"/>
  <c r="I21"/>
  <c r="H21"/>
  <c r="I20"/>
  <c r="H20"/>
  <c r="I19"/>
  <c r="H19"/>
  <c r="I18"/>
  <c r="H18"/>
  <c r="I10"/>
  <c r="H10"/>
  <c r="I11"/>
  <c r="H11"/>
  <c r="G14"/>
  <c r="H15"/>
  <c r="G15" s="1"/>
  <c r="I7"/>
  <c r="H7"/>
  <c r="I12"/>
  <c r="H12"/>
  <c r="G13"/>
  <c r="G9"/>
  <c r="H8"/>
  <c r="G8" s="1"/>
  <c r="G36" i="4" l="1"/>
  <c r="G8"/>
  <c r="H17"/>
  <c r="G7"/>
  <c r="I17"/>
  <c r="G34" i="1"/>
  <c r="G30"/>
  <c r="G7"/>
  <c r="G18"/>
  <c r="G11"/>
  <c r="G20"/>
  <c r="G21"/>
  <c r="G26"/>
  <c r="G28"/>
  <c r="G43"/>
  <c r="G31"/>
  <c r="G38"/>
  <c r="G40"/>
  <c r="G10"/>
  <c r="G19"/>
  <c r="G27"/>
  <c r="G29"/>
  <c r="G35"/>
  <c r="G12"/>
  <c r="G22"/>
  <c r="G25"/>
  <c r="G37"/>
  <c r="G41"/>
  <c r="G42"/>
  <c r="G17" i="4" l="1"/>
  <c r="G46" i="1"/>
  <c r="H24" i="5"/>
  <c r="H10" i="6"/>
  <c r="I10"/>
  <c r="G7"/>
  <c r="G6"/>
  <c r="G12"/>
  <c r="G9"/>
  <c r="G8"/>
  <c r="H14" i="7"/>
  <c r="I14"/>
  <c r="G10"/>
  <c r="G12"/>
  <c r="G11"/>
  <c r="G7"/>
  <c r="G14" s="1"/>
  <c r="G10" i="6" l="1"/>
  <c r="G18" i="5"/>
  <c r="G24"/>
  <c r="G30" i="11"/>
  <c r="G10" i="12" l="1"/>
  <c r="H10"/>
  <c r="H40" i="8"/>
  <c r="I40"/>
  <c r="G44"/>
  <c r="G43"/>
  <c r="G42"/>
  <c r="G9"/>
  <c r="G36"/>
  <c r="G38"/>
  <c r="G27"/>
  <c r="G45"/>
  <c r="G34"/>
  <c r="G30"/>
  <c r="G10"/>
  <c r="G17"/>
  <c r="G29"/>
  <c r="G35"/>
  <c r="G37"/>
  <c r="G25"/>
  <c r="G21"/>
  <c r="G47"/>
  <c r="G39"/>
  <c r="G48"/>
  <c r="G26"/>
  <c r="G19"/>
  <c r="G20"/>
  <c r="G14"/>
  <c r="G13"/>
  <c r="G24"/>
  <c r="G28"/>
  <c r="G16"/>
  <c r="G18"/>
  <c r="G15"/>
  <c r="G31"/>
  <c r="G46"/>
  <c r="G23"/>
  <c r="G32"/>
  <c r="G22"/>
  <c r="G12"/>
  <c r="G33"/>
  <c r="G11"/>
  <c r="E10" i="12"/>
  <c r="H30" i="11"/>
  <c r="I30"/>
  <c r="M10" i="12" l="1"/>
  <c r="F10"/>
  <c r="G49" i="8"/>
  <c r="G40"/>
  <c r="N10" i="12"/>
  <c r="D12"/>
  <c r="H32" i="10" l="1"/>
  <c r="G32" l="1"/>
  <c r="I32"/>
  <c r="H25" i="11"/>
  <c r="I25"/>
  <c r="H18" i="5" l="1"/>
  <c r="I18"/>
  <c r="H46" i="1" l="1"/>
  <c r="I46"/>
  <c r="G16"/>
  <c r="H16"/>
  <c r="I16"/>
  <c r="C4" i="12" l="1"/>
  <c r="N6"/>
  <c r="H8"/>
  <c r="N8" s="1"/>
  <c r="A20" i="4"/>
  <c r="F6" i="12" l="1"/>
  <c r="I11" l="1"/>
  <c r="I7"/>
  <c r="I6"/>
  <c r="L6" s="1"/>
  <c r="I8"/>
  <c r="I9"/>
  <c r="F8"/>
  <c r="L8" l="1"/>
  <c r="I5"/>
  <c r="C12" l="1"/>
  <c r="I4" l="1"/>
  <c r="D13"/>
  <c r="C13" s="1"/>
  <c r="F22" i="2"/>
  <c r="P22" s="1"/>
  <c r="F28"/>
  <c r="P28" s="1"/>
  <c r="F26"/>
  <c r="P26" s="1"/>
  <c r="F11"/>
  <c r="P11" s="1"/>
  <c r="F47"/>
  <c r="P47" s="1"/>
  <c r="F50"/>
  <c r="P50" s="1"/>
  <c r="F33"/>
  <c r="P33" s="1"/>
  <c r="F38"/>
  <c r="P38" s="1"/>
  <c r="F44"/>
  <c r="P44" s="1"/>
  <c r="F58"/>
  <c r="P58" s="1"/>
  <c r="F45"/>
  <c r="P45" s="1"/>
  <c r="F8"/>
  <c r="P8" s="1"/>
  <c r="F10"/>
  <c r="F20"/>
  <c r="P20" s="1"/>
  <c r="F18"/>
  <c r="P18" s="1"/>
  <c r="F52"/>
  <c r="P52" s="1"/>
  <c r="F21"/>
  <c r="P21" s="1"/>
  <c r="F36"/>
  <c r="P36" s="1"/>
  <c r="F65"/>
  <c r="P65" s="1"/>
  <c r="F73"/>
  <c r="P73" s="1"/>
  <c r="F41"/>
  <c r="P41" s="1"/>
  <c r="F24"/>
  <c r="P24" s="1"/>
  <c r="F61"/>
  <c r="P61" s="1"/>
  <c r="F60"/>
  <c r="P60" s="1"/>
  <c r="F37"/>
  <c r="P37" s="1"/>
  <c r="F72"/>
  <c r="P72" s="1"/>
  <c r="F34"/>
  <c r="P34" s="1"/>
  <c r="F48"/>
  <c r="P48" s="1"/>
  <c r="F68"/>
  <c r="P68" s="1"/>
  <c r="F59"/>
  <c r="P59" s="1"/>
  <c r="F71"/>
  <c r="P71" s="1"/>
  <c r="F69"/>
  <c r="P69" s="1"/>
  <c r="F63"/>
  <c r="P63" s="1"/>
  <c r="F6"/>
  <c r="P6" s="1"/>
  <c r="F12"/>
  <c r="P12" s="1"/>
  <c r="F13"/>
  <c r="P13" s="1"/>
  <c r="F17"/>
  <c r="P17" s="1"/>
  <c r="F19"/>
  <c r="P19" s="1"/>
  <c r="F23"/>
  <c r="P23" s="1"/>
  <c r="F31"/>
  <c r="P31" s="1"/>
  <c r="F54"/>
  <c r="P54" s="1"/>
  <c r="F70"/>
  <c r="P70" s="1"/>
  <c r="F14"/>
  <c r="P14" s="1"/>
  <c r="F55"/>
  <c r="P55" s="1"/>
  <c r="F66"/>
  <c r="P66" s="1"/>
  <c r="F64"/>
  <c r="P64" s="1"/>
  <c r="F42"/>
  <c r="P42" s="1"/>
  <c r="F7"/>
  <c r="P7" s="1"/>
  <c r="F67"/>
  <c r="P67" s="1"/>
  <c r="F56"/>
  <c r="P56" s="1"/>
  <c r="F46"/>
  <c r="P46" s="1"/>
  <c r="F40"/>
  <c r="P40" s="1"/>
  <c r="F25"/>
  <c r="P25" s="1"/>
  <c r="F9"/>
  <c r="P9" s="1"/>
  <c r="F30"/>
  <c r="P30" s="1"/>
  <c r="F35"/>
  <c r="P35" s="1"/>
  <c r="F27"/>
  <c r="P27" s="1"/>
  <c r="F32"/>
  <c r="P32" s="1"/>
  <c r="F15"/>
  <c r="P15" s="1"/>
  <c r="F39"/>
  <c r="P39" s="1"/>
  <c r="F53"/>
  <c r="P53" s="1"/>
  <c r="F57"/>
  <c r="P57" s="1"/>
  <c r="F43"/>
  <c r="P43" s="1"/>
  <c r="F49"/>
  <c r="P49" s="1"/>
  <c r="F51"/>
  <c r="P51" s="1"/>
  <c r="F62"/>
  <c r="P62" s="1"/>
  <c r="F16"/>
  <c r="P16" s="1"/>
  <c r="F29"/>
  <c r="P29" s="1"/>
  <c r="P10" l="1"/>
  <c r="F74"/>
  <c r="G13" i="12" s="1"/>
  <c r="M13" s="1"/>
  <c r="F13" l="1"/>
  <c r="L13" l="1"/>
  <c r="I10"/>
  <c r="L10" s="1"/>
  <c r="F9" i="13"/>
  <c r="G12" i="12" s="1"/>
  <c r="A8" i="1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9" i="10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/>
  <c r="A10" i="8"/>
  <c r="A7" i="7"/>
  <c r="A8" s="1"/>
  <c r="A9" s="1"/>
  <c r="A10" s="1"/>
  <c r="C11" i="12" s="1"/>
  <c r="A7" i="6"/>
  <c r="A9" s="1"/>
  <c r="C7" i="12" s="1"/>
  <c r="A8" i="5"/>
  <c r="A9" s="1"/>
  <c r="A10" s="1"/>
  <c r="A11" s="1"/>
  <c r="A12" s="1"/>
  <c r="A13" s="1"/>
  <c r="A14" s="1"/>
  <c r="A15" s="1"/>
  <c r="A16" s="1"/>
  <c r="A17" s="1"/>
  <c r="A8" i="1"/>
  <c r="A9" s="1"/>
  <c r="A10" s="1"/>
  <c r="A11" s="1"/>
  <c r="A12" s="1"/>
  <c r="A13" s="1"/>
  <c r="A14" s="1"/>
  <c r="A15" s="1"/>
  <c r="D6" i="12" s="1"/>
  <c r="A8" i="4"/>
  <c r="A9" s="1"/>
  <c r="A10" s="1"/>
  <c r="A11" s="1"/>
  <c r="A12" s="1"/>
  <c r="A13" s="1"/>
  <c r="A14" s="1"/>
  <c r="A15" s="1"/>
  <c r="A16" s="1"/>
  <c r="D8" i="12" s="1"/>
  <c r="F12" l="1"/>
  <c r="M12"/>
  <c r="A43" i="8"/>
  <c r="D10" i="12"/>
  <c r="C10" s="1"/>
  <c r="A21" i="5"/>
  <c r="A22" s="1"/>
  <c r="A23" s="1"/>
  <c r="E9" i="12" s="1"/>
  <c r="D9"/>
  <c r="D15" s="1"/>
  <c r="A19" i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E6" i="12" s="1"/>
  <c r="A21" i="4"/>
  <c r="A22" s="1"/>
  <c r="A23" s="1"/>
  <c r="A24" s="1"/>
  <c r="A25" s="1"/>
  <c r="A26" s="1"/>
  <c r="A27" s="1"/>
  <c r="A28" s="1"/>
  <c r="A29" s="1"/>
  <c r="A30" s="1"/>
  <c r="A31" s="1"/>
  <c r="A32" s="1"/>
  <c r="A33" s="1"/>
  <c r="A5" i="12"/>
  <c r="A6" s="1"/>
  <c r="A7" s="1"/>
  <c r="A8" s="1"/>
  <c r="A9" s="1"/>
  <c r="A10" s="1"/>
  <c r="A11" s="1"/>
  <c r="A12" s="1"/>
  <c r="C5" l="1"/>
  <c r="C9"/>
  <c r="E8" l="1"/>
  <c r="C8" s="1"/>
  <c r="C6"/>
  <c r="E15" l="1"/>
  <c r="F29" i="10"/>
  <c r="P29" s="1"/>
  <c r="F25"/>
  <c r="P25" s="1"/>
  <c r="F31"/>
  <c r="P31" s="1"/>
  <c r="F26"/>
  <c r="P26" s="1"/>
  <c r="F9"/>
  <c r="P9" s="1"/>
  <c r="F10"/>
  <c r="P10" s="1"/>
  <c r="F17"/>
  <c r="P17" s="1"/>
  <c r="F12"/>
  <c r="P12" s="1"/>
  <c r="F7"/>
  <c r="P7" s="1"/>
  <c r="F8"/>
  <c r="P8" s="1"/>
  <c r="F16"/>
  <c r="P16" s="1"/>
  <c r="F19"/>
  <c r="P19" s="1"/>
  <c r="F22"/>
  <c r="P22" s="1"/>
  <c r="F11"/>
  <c r="P11" s="1"/>
  <c r="F24"/>
  <c r="P24" s="1"/>
  <c r="F18"/>
  <c r="P18" s="1"/>
  <c r="F21"/>
  <c r="P21" s="1"/>
  <c r="F15"/>
  <c r="P15" s="1"/>
  <c r="F27"/>
  <c r="P27" s="1"/>
  <c r="F14"/>
  <c r="P14" s="1"/>
  <c r="F23"/>
  <c r="P23" s="1"/>
  <c r="F28"/>
  <c r="P28" s="1"/>
  <c r="F13"/>
  <c r="P13" s="1"/>
  <c r="F20"/>
  <c r="P20" s="1"/>
  <c r="F30"/>
  <c r="P30" s="1"/>
  <c r="F9" i="8"/>
  <c r="P9" s="1"/>
  <c r="F36"/>
  <c r="P36" s="1"/>
  <c r="F38"/>
  <c r="P38" s="1"/>
  <c r="F27"/>
  <c r="P27" s="1"/>
  <c r="F45"/>
  <c r="F34"/>
  <c r="P34" s="1"/>
  <c r="F30"/>
  <c r="P30" s="1"/>
  <c r="F10"/>
  <c r="P10" s="1"/>
  <c r="F17"/>
  <c r="P17" s="1"/>
  <c r="F29"/>
  <c r="P29" s="1"/>
  <c r="F35"/>
  <c r="P35" s="1"/>
  <c r="F37"/>
  <c r="P37" s="1"/>
  <c r="F25"/>
  <c r="P25" s="1"/>
  <c r="F21"/>
  <c r="P21" s="1"/>
  <c r="F47"/>
  <c r="P47" s="1"/>
  <c r="F39"/>
  <c r="P39" s="1"/>
  <c r="F48"/>
  <c r="P48" s="1"/>
  <c r="F26"/>
  <c r="P26" s="1"/>
  <c r="F19"/>
  <c r="P19" s="1"/>
  <c r="F20"/>
  <c r="P20" s="1"/>
  <c r="F14"/>
  <c r="P14" s="1"/>
  <c r="F13"/>
  <c r="P13" s="1"/>
  <c r="F24"/>
  <c r="P24" s="1"/>
  <c r="F28"/>
  <c r="P28" s="1"/>
  <c r="F16"/>
  <c r="P16" s="1"/>
  <c r="F18"/>
  <c r="P18" s="1"/>
  <c r="F15"/>
  <c r="P15" s="1"/>
  <c r="F31"/>
  <c r="P31" s="1"/>
  <c r="F46"/>
  <c r="P46" s="1"/>
  <c r="F23"/>
  <c r="P23" s="1"/>
  <c r="F32"/>
  <c r="P32" s="1"/>
  <c r="F22"/>
  <c r="P22" s="1"/>
  <c r="F12"/>
  <c r="P12" s="1"/>
  <c r="F33"/>
  <c r="P33" s="1"/>
  <c r="F11"/>
  <c r="P11" l="1"/>
  <c r="P45"/>
  <c r="F49"/>
  <c r="H5" i="12" s="1"/>
  <c r="N5" s="1"/>
  <c r="F4"/>
  <c r="L4" s="1"/>
  <c r="F32" i="10"/>
  <c r="G5" i="12" l="1"/>
  <c r="F5" s="1"/>
  <c r="L5" s="1"/>
  <c r="M5" l="1"/>
  <c r="F6" i="7"/>
  <c r="F10"/>
  <c r="P10" s="1"/>
  <c r="F12"/>
  <c r="P12" s="1"/>
  <c r="F11"/>
  <c r="P11" s="1"/>
  <c r="F7"/>
  <c r="P7" s="1"/>
  <c r="F7" i="6"/>
  <c r="P7" s="1"/>
  <c r="F6"/>
  <c r="P6" s="1"/>
  <c r="F12"/>
  <c r="P12" s="1"/>
  <c r="F9"/>
  <c r="P9" s="1"/>
  <c r="F8"/>
  <c r="P8" s="1"/>
  <c r="F23" i="5"/>
  <c r="P23" s="1"/>
  <c r="F22"/>
  <c r="P22" s="1"/>
  <c r="F21"/>
  <c r="P21" s="1"/>
  <c r="F20"/>
  <c r="F13"/>
  <c r="P13" s="1"/>
  <c r="F10"/>
  <c r="P10" s="1"/>
  <c r="F16"/>
  <c r="P16" s="1"/>
  <c r="F12"/>
  <c r="P12" s="1"/>
  <c r="F7"/>
  <c r="P7" s="1"/>
  <c r="F11"/>
  <c r="P11" s="1"/>
  <c r="F17"/>
  <c r="P17" s="1"/>
  <c r="F9"/>
  <c r="P9" s="1"/>
  <c r="F8"/>
  <c r="P8" s="1"/>
  <c r="F15"/>
  <c r="P15" s="1"/>
  <c r="F14"/>
  <c r="P6" i="7" l="1"/>
  <c r="F14"/>
  <c r="P14" i="5"/>
  <c r="F18"/>
  <c r="G9" i="12" s="1"/>
  <c r="M9" s="1"/>
  <c r="P20" i="5"/>
  <c r="F24"/>
  <c r="G7" i="12"/>
  <c r="M7" s="1"/>
  <c r="G11"/>
  <c r="M11" s="1"/>
  <c r="F13" i="6"/>
  <c r="H7" i="12" s="1"/>
  <c r="N7" s="1"/>
  <c r="H9"/>
  <c r="N9" l="1"/>
  <c r="H15"/>
  <c r="G15"/>
  <c r="F7"/>
  <c r="L7" s="1"/>
  <c r="F9"/>
  <c r="L9" s="1"/>
  <c r="F11" l="1"/>
  <c r="L11" s="1"/>
  <c r="F15" l="1"/>
  <c r="H8" i="13"/>
  <c r="H9" l="1"/>
  <c r="I8"/>
  <c r="I9" s="1"/>
  <c r="G8" l="1"/>
  <c r="G9" l="1"/>
  <c r="L8" l="1"/>
  <c r="L9" s="1"/>
  <c r="K8"/>
  <c r="K9" l="1"/>
  <c r="J8"/>
  <c r="J9" s="1"/>
  <c r="J15" i="12" l="1"/>
  <c r="M15" s="1"/>
  <c r="I12"/>
  <c r="I15" l="1"/>
  <c r="L12"/>
</calcChain>
</file>

<file path=xl/sharedStrings.xml><?xml version="1.0" encoding="utf-8"?>
<sst xmlns="http://schemas.openxmlformats.org/spreadsheetml/2006/main" count="1425" uniqueCount="148">
  <si>
    <t>№ п/п</t>
  </si>
  <si>
    <t>Почтовый адрес МКД</t>
  </si>
  <si>
    <t>Название улицы</t>
  </si>
  <si>
    <t>Номер дома</t>
  </si>
  <si>
    <t>Корпус,
литера</t>
  </si>
  <si>
    <t>Всего</t>
  </si>
  <si>
    <t>за жилищные услуги</t>
  </si>
  <si>
    <t>за коммунальные услуги</t>
  </si>
  <si>
    <t>Итого:</t>
  </si>
  <si>
    <t>тыс. руб.</t>
  </si>
  <si>
    <t>Рейтинг задолженности населения, проживающего в многоквартирных домах, за жилищно-коммунальные услуги.</t>
  </si>
  <si>
    <t>в том числе:</t>
  </si>
  <si>
    <t>Наименование организации</t>
  </si>
  <si>
    <t>ООО "Базис"</t>
  </si>
  <si>
    <t xml:space="preserve">Оленная </t>
  </si>
  <si>
    <t xml:space="preserve">Чернова </t>
  </si>
  <si>
    <t>Ленина</t>
  </si>
  <si>
    <t>А</t>
  </si>
  <si>
    <t>Б</t>
  </si>
  <si>
    <t>Выучейского</t>
  </si>
  <si>
    <t xml:space="preserve">Пырерко </t>
  </si>
  <si>
    <t>Авиаторов</t>
  </si>
  <si>
    <t xml:space="preserve">Заводская </t>
  </si>
  <si>
    <t xml:space="preserve">Северный </t>
  </si>
  <si>
    <t>Рыбацкий</t>
  </si>
  <si>
    <t xml:space="preserve">Сапрыгина </t>
  </si>
  <si>
    <t xml:space="preserve">Смидовича </t>
  </si>
  <si>
    <t xml:space="preserve">Строительная </t>
  </si>
  <si>
    <t>60 лет Октября</t>
  </si>
  <si>
    <t>Тыко Вылко</t>
  </si>
  <si>
    <t xml:space="preserve">Рыбников </t>
  </si>
  <si>
    <t xml:space="preserve">Южная </t>
  </si>
  <si>
    <t>Зеленая</t>
  </si>
  <si>
    <t xml:space="preserve">Ленина </t>
  </si>
  <si>
    <t>Октябрьская</t>
  </si>
  <si>
    <t>Пионерская</t>
  </si>
  <si>
    <t xml:space="preserve">Титова </t>
  </si>
  <si>
    <t xml:space="preserve">Победы </t>
  </si>
  <si>
    <t xml:space="preserve">Ненецкая </t>
  </si>
  <si>
    <t>ООО "Ненецкая УК"</t>
  </si>
  <si>
    <t xml:space="preserve">60 лет Октября </t>
  </si>
  <si>
    <t xml:space="preserve">Выучейского </t>
  </si>
  <si>
    <t xml:space="preserve">Первомайская </t>
  </si>
  <si>
    <t xml:space="preserve">Рабочая </t>
  </si>
  <si>
    <t>Швецова</t>
  </si>
  <si>
    <t>Тыко-вылко</t>
  </si>
  <si>
    <t xml:space="preserve">Пионерская </t>
  </si>
  <si>
    <t>Макара Баева</t>
  </si>
  <si>
    <t xml:space="preserve">Заполярный </t>
  </si>
  <si>
    <t>ООО "Коми-Сервис"</t>
  </si>
  <si>
    <t>Хатанзейского</t>
  </si>
  <si>
    <t>Меньшикова</t>
  </si>
  <si>
    <t xml:space="preserve">Торговый проезд </t>
  </si>
  <si>
    <t>Оленная</t>
  </si>
  <si>
    <t>им. Проф. Г.А. Чернова</t>
  </si>
  <si>
    <t>60 лет СССР</t>
  </si>
  <si>
    <t>ИТОГО:</t>
  </si>
  <si>
    <t>ООО "Наш Дом"</t>
  </si>
  <si>
    <t>Сущинского</t>
  </si>
  <si>
    <t>ООО УК "Уютный Дом"</t>
  </si>
  <si>
    <t>им.В.И. Ленина</t>
  </si>
  <si>
    <t>пр.Им.кап.Матросова</t>
  </si>
  <si>
    <t>Рейтинг задолженности населения, проживающего в многоквартирныхжомах, за жилищно-коммунальные услуги</t>
  </si>
  <si>
    <t>Наименование УО</t>
  </si>
  <si>
    <t>Наименование улицы</t>
  </si>
  <si>
    <t>Корпус, литера</t>
  </si>
  <si>
    <t>УК"Нарьян-Марстрой"</t>
  </si>
  <si>
    <t xml:space="preserve">60 лет СССР </t>
  </si>
  <si>
    <t xml:space="preserve">Матросова </t>
  </si>
  <si>
    <t xml:space="preserve">Меньшикова </t>
  </si>
  <si>
    <t>Ненецкая</t>
  </si>
  <si>
    <t>Первомайская</t>
  </si>
  <si>
    <t>Рыбников</t>
  </si>
  <si>
    <t xml:space="preserve">Тыко Вылка </t>
  </si>
  <si>
    <t>ООО УК "ПОК и ТС"</t>
  </si>
  <si>
    <t>Итого</t>
  </si>
  <si>
    <t>Количество квартир</t>
  </si>
  <si>
    <t xml:space="preserve"> 60 лет Октября</t>
  </si>
  <si>
    <t>В</t>
  </si>
  <si>
    <t>Заводская</t>
  </si>
  <si>
    <t xml:space="preserve"> Заполярный пер</t>
  </si>
  <si>
    <t>Калмыкова</t>
  </si>
  <si>
    <t>Комсомольская</t>
  </si>
  <si>
    <t xml:space="preserve"> Лесной</t>
  </si>
  <si>
    <t>М.Баева</t>
  </si>
  <si>
    <t>Пырерка</t>
  </si>
  <si>
    <t>Рабочая</t>
  </si>
  <si>
    <t>Сапрыгина</t>
  </si>
  <si>
    <t>Северный пер.</t>
  </si>
  <si>
    <t>Совхозная</t>
  </si>
  <si>
    <t>Строительная</t>
  </si>
  <si>
    <t>Титова А.Ф.</t>
  </si>
  <si>
    <t xml:space="preserve"> Хатанзейского</t>
  </si>
  <si>
    <t>Юбилейная</t>
  </si>
  <si>
    <t>Южная</t>
  </si>
  <si>
    <t>Явтысого</t>
  </si>
  <si>
    <t>Нарьян-Марский МУ ПОК и ТС</t>
  </si>
  <si>
    <t>а</t>
  </si>
  <si>
    <t>б</t>
  </si>
  <si>
    <t>Матросова</t>
  </si>
  <si>
    <t>ООО "АВРОРА"</t>
  </si>
  <si>
    <t>Тыко-Вылко</t>
  </si>
  <si>
    <t>60-летия Октября</t>
  </si>
  <si>
    <t>Полярная</t>
  </si>
  <si>
    <t xml:space="preserve">Задолженность за ЖКУ с квартиры  </t>
  </si>
  <si>
    <t xml:space="preserve">Бондарная </t>
  </si>
  <si>
    <t xml:space="preserve">Наименование организации </t>
  </si>
  <si>
    <t>Задолженность населения за ЖКУ  в расчете на 1 квартиру</t>
  </si>
  <si>
    <t>ООО УК"Нарьян-Марстрой"</t>
  </si>
  <si>
    <t xml:space="preserve">ТСЖ "Дворянское гнездо" </t>
  </si>
  <si>
    <t>ООО "Содружество"</t>
  </si>
  <si>
    <t>х</t>
  </si>
  <si>
    <t>Многоквартирные дома, обслуживание которых завершено.</t>
  </si>
  <si>
    <t>Многовкартирные дома, обслуживание которых завершено.</t>
  </si>
  <si>
    <t>Многоквартиные дома, обслуживание которых завершено.</t>
  </si>
  <si>
    <t>ООО "СОДРУЖЕСТВО"</t>
  </si>
  <si>
    <t>Г</t>
  </si>
  <si>
    <t>Д</t>
  </si>
  <si>
    <t>Заполярный</t>
  </si>
  <si>
    <t>Северный</t>
  </si>
  <si>
    <t>Титова</t>
  </si>
  <si>
    <t xml:space="preserve">Явтысого </t>
  </si>
  <si>
    <t>Количество многоквартирных домов, всего</t>
  </si>
  <si>
    <t>Количество квартир в многоквартирном доме, всего</t>
  </si>
  <si>
    <t>находящихся  под управлением</t>
  </si>
  <si>
    <t>обслуживание которых завершено</t>
  </si>
  <si>
    <t>находящемся  под управлением</t>
  </si>
  <si>
    <t>обслуживание которого завершено</t>
  </si>
  <si>
    <t xml:space="preserve">Задолженность населения за ЖКУ, всего </t>
  </si>
  <si>
    <t>в МКД, находящихся под управлением</t>
  </si>
  <si>
    <t>в МКД, обслуживание которых завершено</t>
  </si>
  <si>
    <t>-</t>
  </si>
  <si>
    <t>Задолженность населения за ЖКУ по состоянию на 01.01.2019</t>
  </si>
  <si>
    <t>Задолженность населения за ЖКУ по состоянию на 01.02.2019</t>
  </si>
  <si>
    <t>Задолженность населения за ЖКУ по состоянию на 01.03.2019</t>
  </si>
  <si>
    <t>ООО УК "МКД-Сервис"</t>
  </si>
  <si>
    <t>Рейтинг задолженности населения, проживающего в многоквартирных домах, за жилищно-коммунальные услуги по состоянию на 01.03.2019, в разрезе действующих управляющих организаций (тыс. руб.)</t>
  </si>
  <si>
    <t>Примечание:</t>
  </si>
  <si>
    <t xml:space="preserve">По состоянию на 01.03.2019 максимальная задолженность за ЖКУ сформирована по многоквартирному дому по адресу ул. Ленина, д. 21А, (98 квартир). </t>
  </si>
  <si>
    <t>По состоянию на 01.03.2019 максимальная задолженность за ЖКУ сформирована по многоквартирному дому по адресу ул. Выучейского, д. 12 (96 квартир).</t>
  </si>
  <si>
    <t xml:space="preserve">По состоянию на 01.03.2019 максимальная задолженность за ЖКУ сформирована по многоквартирному дому по адресу ул. Хатанзейского, д. 13 (70 квартир).  </t>
  </si>
  <si>
    <t xml:space="preserve">По состоянию на 01.03.2019 максимальная задолженность за ЖКУ сформирована по многоквартирному дому по адресу ул. Сущинского, д. 4 (140 квартир).  </t>
  </si>
  <si>
    <t>По состоянию на 01.03.2019 максимальная задолженность за ЖКУ сформирована по многоквартирному дому по адресу  пр. им. капитана Матросова, д. 8 (98 квартир).</t>
  </si>
  <si>
    <t>По состоянию на 01.03.2019 максимальная задолженность за ЖКУ сформирована по многоквартирному дому по адресу пр. капитана Матросова, д. 2 (169 квартир).  Учитывая задолженность за ЖКУ с квартиры, то максимальная задолженность сформирована по многоквартирному дому по адресу ул. Тыко Вылка , д. 2 (68 квартир).</t>
  </si>
  <si>
    <t>По состоянию на 01.03.2019 максимальная задолженность за ЖКУ сформирована по многоквартирному дому по адресу ул. Выучейского, д. 10 (72 квартиры).  Учитывая задолженность за ЖКУ с квартиры, то максимальная задолженность сформирована по многоквартирному дому по адресу ул. Зеленая , д. 17А (8 квартир).</t>
  </si>
  <si>
    <t>По состоянию на 01.03.2019 максимальная задолженность за ЖКУ сформирована по многоквартирному дому по адресу ул. Выучейского, д. 12 (96 квартир).  Учитывая задолженность за ЖКУ с квартиры, то максимальная задолженность сформирована по многоквартирному дому по адресу ул. Рабочая, д. 39 (18 квартир).</t>
  </si>
  <si>
    <t>По состоянию на 01.03.2019 максимальная задолженность за ЖКУ сформирована по многоквартирному дому по адресу ул. Авиаторов, д. 22 (80 квартир).  Учитывая задолженность за ЖКУ с квартиры, то максимальная задолженность сформирована по многоквартирному дому по адресу ул. Заводская, д. 13 (8 квартир).</t>
  </si>
  <si>
    <t>По состоянию на 01.03.2019 максимальная задолженность за ЖКУ сформирована по многоквартирному дому по адресу ул. Титова, д. 4 (35 квартир).  Учитывая задолженность за ЖКУ с квартиры, то максимальная задолженность сформирована по многоквартирному дому по адресу ул. Пионерская, д.12(12 квартир).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</si>
</sst>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  <numFmt numFmtId="168" formatCode="#,##0.000"/>
  </numFmts>
  <fonts count="4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165" fontId="23" fillId="0" borderId="0" applyFont="0" applyFill="0" applyBorder="0" applyAlignment="0" applyProtection="0"/>
    <xf numFmtId="0" fontId="5" fillId="0" borderId="0"/>
    <xf numFmtId="0" fontId="2" fillId="0" borderId="0"/>
    <xf numFmtId="0" fontId="29" fillId="0" borderId="0"/>
    <xf numFmtId="0" fontId="3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</cellStyleXfs>
  <cellXfs count="361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4" fontId="0" fillId="0" borderId="10" xfId="0" applyNumberFormat="1" applyBorder="1" applyAlignment="1">
      <alignment horizontal="center" vertical="center"/>
    </xf>
    <xf numFmtId="4" fontId="0" fillId="24" borderId="10" xfId="0" applyNumberForma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0" xfId="0" applyFill="1"/>
    <xf numFmtId="0" fontId="24" fillId="24" borderId="10" xfId="0" applyFont="1" applyFill="1" applyBorder="1" applyAlignment="1">
      <alignment horizontal="center" vertical="center"/>
    </xf>
    <xf numFmtId="0" fontId="24" fillId="24" borderId="0" xfId="0" applyFont="1" applyFill="1"/>
    <xf numFmtId="4" fontId="0" fillId="0" borderId="0" xfId="0" applyNumberFormat="1"/>
    <xf numFmtId="0" fontId="0" fillId="0" borderId="0" xfId="0" applyAlignment="1">
      <alignment horizontal="center"/>
    </xf>
    <xf numFmtId="0" fontId="23" fillId="0" borderId="0" xfId="48"/>
    <xf numFmtId="0" fontId="23" fillId="0" borderId="0" xfId="48" applyAlignment="1">
      <alignment horizontal="right"/>
    </xf>
    <xf numFmtId="0" fontId="3" fillId="0" borderId="11" xfId="52" applyFont="1" applyBorder="1" applyAlignment="1">
      <alignment horizontal="center" vertical="center" wrapText="1"/>
    </xf>
    <xf numFmtId="0" fontId="25" fillId="0" borderId="0" xfId="48" applyFont="1"/>
    <xf numFmtId="0" fontId="5" fillId="0" borderId="0" xfId="48" applyFont="1"/>
    <xf numFmtId="0" fontId="26" fillId="0" borderId="0" xfId="48" applyFont="1" applyAlignment="1"/>
    <xf numFmtId="0" fontId="27" fillId="0" borderId="0" xfId="48" applyFont="1" applyFill="1" applyBorder="1" applyAlignment="1">
      <alignment vertical="center" wrapText="1"/>
    </xf>
    <xf numFmtId="0" fontId="27" fillId="0" borderId="0" xfId="48" applyFont="1" applyFill="1" applyBorder="1" applyAlignment="1">
      <alignment horizontal="center" vertical="center" wrapText="1"/>
    </xf>
    <xf numFmtId="4" fontId="23" fillId="0" borderId="0" xfId="48" applyNumberFormat="1" applyFill="1" applyBorder="1" applyAlignment="1"/>
    <xf numFmtId="4" fontId="23" fillId="0" borderId="0" xfId="48" applyNumberFormat="1" applyFill="1" applyBorder="1"/>
    <xf numFmtId="4" fontId="28" fillId="0" borderId="0" xfId="48" applyNumberFormat="1" applyFont="1" applyFill="1" applyBorder="1"/>
    <xf numFmtId="4" fontId="5" fillId="0" borderId="0" xfId="48" applyNumberFormat="1" applyFont="1" applyFill="1" applyBorder="1" applyAlignment="1"/>
    <xf numFmtId="2" fontId="5" fillId="0" borderId="0" xfId="48" applyNumberFormat="1" applyFont="1" applyFill="1" applyBorder="1" applyAlignment="1">
      <alignment wrapText="1"/>
    </xf>
    <xf numFmtId="2" fontId="23" fillId="0" borderId="0" xfId="48" applyNumberFormat="1" applyFill="1" applyBorder="1" applyAlignment="1">
      <alignment wrapText="1"/>
    </xf>
    <xf numFmtId="2" fontId="23" fillId="0" borderId="0" xfId="48" applyNumberFormat="1" applyFill="1" applyBorder="1" applyAlignment="1">
      <alignment horizontal="center" wrapText="1"/>
    </xf>
    <xf numFmtId="166" fontId="23" fillId="0" borderId="0" xfId="48" applyNumberFormat="1" applyFill="1" applyBorder="1"/>
    <xf numFmtId="0" fontId="23" fillId="0" borderId="0" xfId="48" applyFill="1" applyBorder="1"/>
    <xf numFmtId="166" fontId="23" fillId="0" borderId="0" xfId="48" applyNumberFormat="1" applyFill="1" applyBorder="1" applyAlignment="1">
      <alignment horizontal="center" wrapText="1"/>
    </xf>
    <xf numFmtId="4" fontId="5" fillId="0" borderId="0" xfId="48" applyNumberFormat="1" applyFont="1" applyFill="1" applyBorder="1"/>
    <xf numFmtId="0" fontId="23" fillId="0" borderId="0" xfId="48" applyBorder="1"/>
    <xf numFmtId="0" fontId="5" fillId="0" borderId="0" xfId="48" applyFont="1" applyBorder="1"/>
    <xf numFmtId="166" fontId="23" fillId="0" borderId="0" xfId="48" applyNumberFormat="1" applyBorder="1"/>
    <xf numFmtId="0" fontId="30" fillId="0" borderId="0" xfId="0" applyFont="1"/>
    <xf numFmtId="0" fontId="30" fillId="0" borderId="10" xfId="0" applyFont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 vertical="center"/>
    </xf>
    <xf numFmtId="0" fontId="26" fillId="0" borderId="0" xfId="48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/>
    <xf numFmtId="4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7" fontId="1" fillId="0" borderId="10" xfId="0" applyNumberFormat="1" applyFont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167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1" fillId="0" borderId="10" xfId="0" applyFont="1" applyFill="1" applyBorder="1"/>
    <xf numFmtId="4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48" applyFont="1" applyAlignment="1">
      <alignment horizontal="right"/>
    </xf>
    <xf numFmtId="1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" fontId="0" fillId="0" borderId="10" xfId="0" applyNumberForma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4" fontId="1" fillId="0" borderId="10" xfId="0" applyNumberFormat="1" applyFont="1" applyBorder="1" applyAlignment="1">
      <alignment horizontal="center"/>
    </xf>
    <xf numFmtId="0" fontId="0" fillId="25" borderId="0" xfId="0" applyFill="1"/>
    <xf numFmtId="0" fontId="0" fillId="25" borderId="0" xfId="0" applyFill="1" applyBorder="1"/>
    <xf numFmtId="0" fontId="23" fillId="25" borderId="0" xfId="48" applyFill="1"/>
    <xf numFmtId="0" fontId="32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166" fontId="5" fillId="0" borderId="0" xfId="48" applyNumberFormat="1" applyFont="1" applyFill="1" applyBorder="1" applyAlignment="1">
      <alignment horizontal="center" wrapText="1"/>
    </xf>
    <xf numFmtId="0" fontId="5" fillId="25" borderId="0" xfId="48" applyFont="1" applyFill="1"/>
    <xf numFmtId="0" fontId="5" fillId="0" borderId="0" xfId="48" applyFont="1" applyFill="1" applyBorder="1" applyAlignment="1">
      <alignment vertical="center" wrapText="1"/>
    </xf>
    <xf numFmtId="0" fontId="5" fillId="0" borderId="0" xfId="48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10" xfId="0" applyBorder="1" applyAlignment="1">
      <alignment horizontal="center" wrapText="1"/>
    </xf>
    <xf numFmtId="0" fontId="24" fillId="0" borderId="0" xfId="0" applyFont="1" applyFill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24" fillId="24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1" fillId="24" borderId="10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/>
    </xf>
    <xf numFmtId="3" fontId="33" fillId="0" borderId="10" xfId="0" applyNumberFormat="1" applyFont="1" applyBorder="1" applyAlignment="1">
      <alignment horizontal="center"/>
    </xf>
    <xf numFmtId="3" fontId="33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8" fillId="0" borderId="0" xfId="48" applyFont="1"/>
    <xf numFmtId="0" fontId="39" fillId="0" borderId="0" xfId="0" applyFont="1"/>
    <xf numFmtId="0" fontId="24" fillId="0" borderId="10" xfId="56" applyFont="1" applyFill="1" applyBorder="1" applyAlignment="1">
      <alignment horizontal="center" vertical="center" wrapText="1"/>
    </xf>
    <xf numFmtId="0" fontId="24" fillId="0" borderId="12" xfId="56" applyFont="1" applyFill="1" applyBorder="1" applyAlignment="1">
      <alignment horizontal="center" vertical="center" wrapText="1"/>
    </xf>
    <xf numFmtId="0" fontId="24" fillId="0" borderId="10" xfId="1" applyFont="1" applyFill="1" applyBorder="1" applyAlignment="1" applyProtection="1">
      <alignment horizontal="left" vertical="center" wrapText="1"/>
      <protection hidden="1"/>
    </xf>
    <xf numFmtId="0" fontId="39" fillId="0" borderId="0" xfId="0" applyFont="1" applyFill="1"/>
    <xf numFmtId="0" fontId="24" fillId="0" borderId="10" xfId="0" applyFont="1" applyFill="1" applyBorder="1" applyAlignment="1">
      <alignment horizontal="center"/>
    </xf>
    <xf numFmtId="0" fontId="24" fillId="0" borderId="11" xfId="1" applyFont="1" applyFill="1" applyBorder="1" applyAlignment="1" applyProtection="1">
      <alignment horizontal="left" vertical="center" wrapText="1"/>
      <protection hidden="1"/>
    </xf>
    <xf numFmtId="0" fontId="24" fillId="0" borderId="20" xfId="1" applyFont="1" applyFill="1" applyBorder="1" applyAlignment="1" applyProtection="1">
      <alignment horizontal="left" vertical="center" wrapText="1"/>
      <protection hidden="1"/>
    </xf>
    <xf numFmtId="0" fontId="34" fillId="0" borderId="10" xfId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/>
    <xf numFmtId="0" fontId="39" fillId="25" borderId="0" xfId="0" applyFont="1" applyFill="1"/>
    <xf numFmtId="0" fontId="24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wrapText="1"/>
    </xf>
    <xf numFmtId="167" fontId="0" fillId="0" borderId="10" xfId="0" applyNumberForma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  <xf numFmtId="0" fontId="24" fillId="0" borderId="10" xfId="0" applyFont="1" applyFill="1" applyBorder="1"/>
    <xf numFmtId="0" fontId="24" fillId="0" borderId="0" xfId="0" applyFont="1" applyFill="1"/>
    <xf numFmtId="1" fontId="24" fillId="0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right" vertical="top"/>
    </xf>
    <xf numFmtId="4" fontId="3" fillId="0" borderId="10" xfId="0" applyNumberFormat="1" applyFont="1" applyBorder="1"/>
    <xf numFmtId="0" fontId="0" fillId="0" borderId="10" xfId="0" applyBorder="1" applyAlignment="1">
      <alignment horizontal="center" vertical="center" wrapText="1"/>
    </xf>
    <xf numFmtId="0" fontId="24" fillId="0" borderId="10" xfId="1" applyFont="1" applyFill="1" applyBorder="1" applyAlignment="1" applyProtection="1">
      <alignment horizontal="center" vertical="center" wrapText="1"/>
      <protection hidden="1"/>
    </xf>
    <xf numFmtId="0" fontId="24" fillId="0" borderId="11" xfId="1" applyFont="1" applyFill="1" applyBorder="1" applyAlignment="1" applyProtection="1">
      <alignment horizontal="center" vertical="center" wrapText="1"/>
      <protection hidden="1"/>
    </xf>
    <xf numFmtId="0" fontId="39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1" fillId="25" borderId="12" xfId="0" applyFont="1" applyFill="1" applyBorder="1" applyAlignment="1">
      <alignment horizontal="left" vertical="center"/>
    </xf>
    <xf numFmtId="0" fontId="1" fillId="25" borderId="22" xfId="0" applyFont="1" applyFill="1" applyBorder="1" applyAlignment="1">
      <alignment horizontal="left" vertical="center"/>
    </xf>
    <xf numFmtId="0" fontId="3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6" fillId="0" borderId="0" xfId="0" applyFont="1" applyAlignment="1">
      <alignment horizontal="center" wrapText="1"/>
    </xf>
    <xf numFmtId="0" fontId="3" fillId="24" borderId="11" xfId="1" applyFont="1" applyFill="1" applyBorder="1" applyAlignment="1" applyProtection="1">
      <alignment horizontal="center" vertical="center" wrapText="1"/>
      <protection hidden="1"/>
    </xf>
    <xf numFmtId="0" fontId="3" fillId="24" borderId="21" xfId="1" applyFont="1" applyFill="1" applyBorder="1" applyAlignment="1" applyProtection="1">
      <alignment horizontal="center" vertical="center" wrapText="1"/>
      <protection hidden="1"/>
    </xf>
    <xf numFmtId="0" fontId="3" fillId="24" borderId="20" xfId="1" applyFont="1" applyFill="1" applyBorder="1" applyAlignment="1" applyProtection="1">
      <alignment horizontal="center" vertical="center" wrapText="1"/>
      <protection hidden="1"/>
    </xf>
    <xf numFmtId="0" fontId="5" fillId="0" borderId="11" xfId="48" applyFont="1" applyBorder="1" applyAlignment="1">
      <alignment horizontal="center" vertical="center" wrapText="1"/>
    </xf>
    <xf numFmtId="0" fontId="5" fillId="0" borderId="21" xfId="48" applyFont="1" applyBorder="1" applyAlignment="1">
      <alignment horizontal="center" vertical="center" wrapText="1"/>
    </xf>
    <xf numFmtId="0" fontId="5" fillId="0" borderId="20" xfId="48" applyFont="1" applyBorder="1" applyAlignment="1">
      <alignment horizontal="center" vertical="center" wrapText="1"/>
    </xf>
    <xf numFmtId="0" fontId="1" fillId="0" borderId="0" xfId="48" applyFont="1" applyAlignment="1">
      <alignment horizontal="center"/>
    </xf>
    <xf numFmtId="0" fontId="3" fillId="0" borderId="11" xfId="1" applyFont="1" applyFill="1" applyBorder="1" applyAlignment="1" applyProtection="1">
      <alignment horizontal="center" vertical="center" wrapText="1"/>
      <protection hidden="1"/>
    </xf>
    <xf numFmtId="0" fontId="3" fillId="0" borderId="21" xfId="1" applyFont="1" applyFill="1" applyBorder="1" applyAlignment="1" applyProtection="1">
      <alignment horizontal="center" vertical="center" wrapText="1"/>
      <protection hidden="1"/>
    </xf>
    <xf numFmtId="0" fontId="3" fillId="0" borderId="20" xfId="1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>
      <alignment horizontal="center" vertical="center" wrapText="1"/>
    </xf>
    <xf numFmtId="0" fontId="5" fillId="0" borderId="18" xfId="48" applyFont="1" applyBorder="1" applyAlignment="1">
      <alignment horizontal="center" wrapText="1"/>
    </xf>
    <xf numFmtId="0" fontId="23" fillId="0" borderId="14" xfId="48" applyBorder="1" applyAlignment="1">
      <alignment horizontal="center"/>
    </xf>
    <xf numFmtId="0" fontId="23" fillId="0" borderId="0" xfId="48" applyBorder="1" applyAlignment="1">
      <alignment horizontal="center"/>
    </xf>
    <xf numFmtId="0" fontId="32" fillId="0" borderId="10" xfId="0" applyFont="1" applyFill="1" applyBorder="1" applyAlignment="1">
      <alignment horizontal="center" vertical="center" wrapText="1"/>
    </xf>
    <xf numFmtId="0" fontId="5" fillId="0" borderId="10" xfId="48" applyFont="1" applyBorder="1" applyAlignment="1">
      <alignment horizontal="center" vertical="center" wrapText="1"/>
    </xf>
    <xf numFmtId="0" fontId="5" fillId="0" borderId="15" xfId="48" applyFont="1" applyBorder="1" applyAlignment="1">
      <alignment horizontal="center" vertical="center" wrapText="1"/>
    </xf>
    <xf numFmtId="0" fontId="5" fillId="0" borderId="16" xfId="48" applyFont="1" applyBorder="1" applyAlignment="1">
      <alignment horizontal="center" vertical="center" wrapText="1"/>
    </xf>
    <xf numFmtId="0" fontId="5" fillId="0" borderId="17" xfId="48" applyFont="1" applyBorder="1" applyAlignment="1">
      <alignment horizontal="center" vertical="center" wrapText="1"/>
    </xf>
    <xf numFmtId="0" fontId="5" fillId="0" borderId="18" xfId="48" applyFont="1" applyBorder="1" applyAlignment="1">
      <alignment horizontal="center" vertical="center" wrapText="1"/>
    </xf>
    <xf numFmtId="0" fontId="5" fillId="0" borderId="0" xfId="48" applyFont="1" applyBorder="1" applyAlignment="1">
      <alignment horizontal="center" vertical="center" wrapText="1"/>
    </xf>
    <xf numFmtId="0" fontId="5" fillId="0" borderId="19" xfId="48" applyFont="1" applyBorder="1" applyAlignment="1">
      <alignment horizontal="center" vertical="center" wrapText="1"/>
    </xf>
    <xf numFmtId="0" fontId="1" fillId="25" borderId="0" xfId="0" applyFont="1" applyFill="1" applyAlignment="1">
      <alignment horizontal="left"/>
    </xf>
    <xf numFmtId="0" fontId="39" fillId="0" borderId="10" xfId="0" applyFont="1" applyFill="1" applyBorder="1" applyAlignment="1">
      <alignment horizontal="center" vertical="center"/>
    </xf>
    <xf numFmtId="0" fontId="24" fillId="0" borderId="10" xfId="1" applyFont="1" applyFill="1" applyBorder="1" applyAlignment="1" applyProtection="1">
      <alignment horizontal="center" vertical="center" wrapText="1"/>
      <protection hidden="1"/>
    </xf>
    <xf numFmtId="0" fontId="24" fillId="0" borderId="10" xfId="1" applyFont="1" applyFill="1" applyBorder="1" applyAlignment="1" applyProtection="1">
      <alignment vertical="center" wrapText="1"/>
      <protection hidden="1"/>
    </xf>
    <xf numFmtId="0" fontId="0" fillId="0" borderId="10" xfId="0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0" fontId="39" fillId="0" borderId="12" xfId="0" applyFont="1" applyFill="1" applyBorder="1" applyAlignment="1">
      <alignment horizont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24" fillId="0" borderId="11" xfId="1" applyFont="1" applyFill="1" applyBorder="1" applyAlignment="1" applyProtection="1">
      <alignment horizontal="center" vertical="center" wrapText="1"/>
      <protection hidden="1"/>
    </xf>
    <xf numFmtId="0" fontId="24" fillId="0" borderId="21" xfId="1" applyFont="1" applyFill="1" applyBorder="1" applyAlignment="1" applyProtection="1">
      <alignment horizontal="center" vertical="center" wrapText="1"/>
      <protection hidden="1"/>
    </xf>
    <xf numFmtId="0" fontId="24" fillId="0" borderId="20" xfId="1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>
      <alignment horizontal="center" wrapText="1"/>
    </xf>
    <xf numFmtId="0" fontId="1" fillId="25" borderId="22" xfId="0" applyFont="1" applyFill="1" applyBorder="1" applyAlignment="1">
      <alignment horizontal="left"/>
    </xf>
    <xf numFmtId="0" fontId="22" fillId="0" borderId="2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wrapText="1"/>
    </xf>
    <xf numFmtId="0" fontId="22" fillId="0" borderId="22" xfId="0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wrapText="1"/>
    </xf>
    <xf numFmtId="0" fontId="0" fillId="27" borderId="10" xfId="0" applyFill="1" applyBorder="1" applyAlignment="1">
      <alignment horizontal="center" vertical="center"/>
    </xf>
    <xf numFmtId="4" fontId="0" fillId="27" borderId="10" xfId="0" applyNumberFormat="1" applyFill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26" borderId="10" xfId="0" applyFill="1" applyBorder="1" applyAlignment="1">
      <alignment horizontal="center" vertical="center"/>
    </xf>
    <xf numFmtId="0" fontId="30" fillId="26" borderId="10" xfId="0" applyFont="1" applyFill="1" applyBorder="1" applyAlignment="1">
      <alignment horizontal="center" vertical="center"/>
    </xf>
    <xf numFmtId="4" fontId="0" fillId="26" borderId="10" xfId="0" applyNumberFormat="1" applyFill="1" applyBorder="1" applyAlignment="1">
      <alignment horizontal="center" vertical="center"/>
    </xf>
    <xf numFmtId="4" fontId="39" fillId="0" borderId="10" xfId="0" applyNumberFormat="1" applyFont="1" applyBorder="1" applyAlignment="1">
      <alignment horizontal="center" vertical="center"/>
    </xf>
    <xf numFmtId="4" fontId="39" fillId="24" borderId="10" xfId="0" applyNumberFormat="1" applyFont="1" applyFill="1" applyBorder="1" applyAlignment="1">
      <alignment horizontal="center" vertical="center"/>
    </xf>
    <xf numFmtId="4" fontId="39" fillId="0" borderId="10" xfId="0" applyNumberFormat="1" applyFont="1" applyFill="1" applyBorder="1" applyAlignment="1">
      <alignment horizontal="center" vertical="center"/>
    </xf>
    <xf numFmtId="0" fontId="41" fillId="25" borderId="12" xfId="48" applyFont="1" applyFill="1" applyBorder="1" applyAlignment="1">
      <alignment horizontal="left" vertical="center"/>
    </xf>
    <xf numFmtId="0" fontId="41" fillId="25" borderId="22" xfId="48" applyFont="1" applyFill="1" applyBorder="1" applyAlignment="1">
      <alignment horizontal="left" vertical="center"/>
    </xf>
    <xf numFmtId="0" fontId="24" fillId="0" borderId="10" xfId="48" applyFont="1" applyBorder="1" applyAlignment="1">
      <alignment horizontal="center" vertical="center"/>
    </xf>
    <xf numFmtId="0" fontId="24" fillId="0" borderId="10" xfId="48" applyFont="1" applyBorder="1"/>
    <xf numFmtId="0" fontId="24" fillId="0" borderId="10" xfId="48" applyFont="1" applyBorder="1" applyAlignment="1">
      <alignment horizontal="center"/>
    </xf>
    <xf numFmtId="4" fontId="24" fillId="0" borderId="10" xfId="48" applyNumberFormat="1" applyFont="1" applyBorder="1" applyAlignment="1">
      <alignment horizontal="center" vertical="center"/>
    </xf>
    <xf numFmtId="0" fontId="34" fillId="0" borderId="10" xfId="48" applyFont="1" applyBorder="1" applyAlignment="1">
      <alignment horizontal="center" vertical="center"/>
    </xf>
    <xf numFmtId="0" fontId="34" fillId="0" borderId="10" xfId="48" applyFont="1" applyBorder="1"/>
    <xf numFmtId="0" fontId="34" fillId="0" borderId="10" xfId="48" applyFont="1" applyBorder="1" applyAlignment="1">
      <alignment horizontal="center"/>
    </xf>
    <xf numFmtId="4" fontId="34" fillId="0" borderId="10" xfId="48" applyNumberFormat="1" applyFont="1" applyBorder="1" applyAlignment="1">
      <alignment horizontal="center" vertical="center"/>
    </xf>
    <xf numFmtId="0" fontId="34" fillId="25" borderId="12" xfId="48" applyFont="1" applyFill="1" applyBorder="1" applyAlignment="1">
      <alignment horizontal="left" vertical="center"/>
    </xf>
    <xf numFmtId="0" fontId="34" fillId="25" borderId="22" xfId="48" applyFont="1" applyFill="1" applyBorder="1" applyAlignment="1">
      <alignment horizontal="left" vertical="center"/>
    </xf>
    <xf numFmtId="0" fontId="24" fillId="0" borderId="0" xfId="52" applyFont="1"/>
    <xf numFmtId="0" fontId="34" fillId="0" borderId="0" xfId="52" applyFont="1"/>
    <xf numFmtId="0" fontId="39" fillId="0" borderId="0" xfId="0" applyFont="1" applyAlignment="1">
      <alignment horizontal="left" wrapText="1"/>
    </xf>
    <xf numFmtId="0" fontId="24" fillId="26" borderId="10" xfId="48" applyFont="1" applyFill="1" applyBorder="1"/>
    <xf numFmtId="0" fontId="24" fillId="26" borderId="10" xfId="48" applyFont="1" applyFill="1" applyBorder="1" applyAlignment="1">
      <alignment horizontal="center"/>
    </xf>
    <xf numFmtId="0" fontId="39" fillId="26" borderId="10" xfId="0" applyFont="1" applyFill="1" applyBorder="1" applyAlignment="1">
      <alignment horizontal="center" vertical="center"/>
    </xf>
    <xf numFmtId="4" fontId="39" fillId="26" borderId="10" xfId="0" applyNumberFormat="1" applyFont="1" applyFill="1" applyBorder="1" applyAlignment="1">
      <alignment horizontal="center" vertical="center"/>
    </xf>
    <xf numFmtId="4" fontId="24" fillId="26" borderId="10" xfId="48" applyNumberFormat="1" applyFont="1" applyFill="1" applyBorder="1" applyAlignment="1">
      <alignment horizontal="center" vertical="center"/>
    </xf>
    <xf numFmtId="0" fontId="0" fillId="26" borderId="10" xfId="0" applyFill="1" applyBorder="1"/>
    <xf numFmtId="0" fontId="5" fillId="0" borderId="0" xfId="52"/>
    <xf numFmtId="0" fontId="26" fillId="0" borderId="0" xfId="52" applyFont="1"/>
    <xf numFmtId="0" fontId="0" fillId="0" borderId="0" xfId="0" applyAlignment="1">
      <alignment wrapText="1"/>
    </xf>
    <xf numFmtId="0" fontId="0" fillId="26" borderId="10" xfId="0" applyFill="1" applyBorder="1" applyAlignment="1">
      <alignment horizontal="center"/>
    </xf>
    <xf numFmtId="4" fontId="42" fillId="0" borderId="10" xfId="0" applyNumberFormat="1" applyFont="1" applyFill="1" applyBorder="1" applyAlignment="1">
      <alignment horizontal="center" vertical="center"/>
    </xf>
    <xf numFmtId="4" fontId="42" fillId="0" borderId="10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24" fillId="0" borderId="10" xfId="48" applyFont="1" applyFill="1" applyBorder="1" applyAlignment="1">
      <alignment horizontal="center"/>
    </xf>
    <xf numFmtId="0" fontId="24" fillId="0" borderId="10" xfId="48" applyFont="1" applyFill="1" applyBorder="1" applyAlignment="1">
      <alignment wrapText="1"/>
    </xf>
    <xf numFmtId="0" fontId="24" fillId="0" borderId="10" xfId="48" applyFont="1" applyFill="1" applyBorder="1" applyAlignment="1" applyProtection="1">
      <alignment horizontal="left"/>
      <protection hidden="1"/>
    </xf>
    <xf numFmtId="0" fontId="34" fillId="0" borderId="10" xfId="48" applyFont="1" applyFill="1" applyBorder="1" applyAlignment="1" applyProtection="1">
      <alignment horizontal="center"/>
      <protection hidden="1"/>
    </xf>
    <xf numFmtId="0" fontId="24" fillId="0" borderId="10" xfId="48" applyFont="1" applyFill="1" applyBorder="1" applyAlignment="1" applyProtection="1">
      <alignment horizontal="center"/>
      <protection hidden="1"/>
    </xf>
    <xf numFmtId="1" fontId="39" fillId="24" borderId="10" xfId="0" applyNumberFormat="1" applyFont="1" applyFill="1" applyBorder="1" applyAlignment="1">
      <alignment horizontal="center"/>
    </xf>
    <xf numFmtId="1" fontId="24" fillId="24" borderId="10" xfId="0" applyNumberFormat="1" applyFont="1" applyFill="1" applyBorder="1" applyAlignment="1">
      <alignment horizontal="center" wrapText="1"/>
    </xf>
    <xf numFmtId="1" fontId="39" fillId="24" borderId="10" xfId="0" applyNumberFormat="1" applyFont="1" applyFill="1" applyBorder="1" applyAlignment="1">
      <alignment horizontal="center" wrapText="1"/>
    </xf>
    <xf numFmtId="0" fontId="39" fillId="0" borderId="10" xfId="0" applyFont="1" applyBorder="1" applyAlignment="1">
      <alignment horizontal="center" vertical="center"/>
    </xf>
    <xf numFmtId="0" fontId="24" fillId="0" borderId="10" xfId="53" applyFont="1" applyFill="1" applyBorder="1" applyAlignment="1">
      <alignment horizontal="left"/>
    </xf>
    <xf numFmtId="0" fontId="34" fillId="0" borderId="10" xfId="53" applyNumberFormat="1" applyFont="1" applyFill="1" applyBorder="1" applyAlignment="1">
      <alignment horizontal="center"/>
    </xf>
    <xf numFmtId="2" fontId="34" fillId="0" borderId="10" xfId="53" applyNumberFormat="1" applyFont="1" applyFill="1" applyBorder="1" applyAlignment="1">
      <alignment horizontal="center"/>
    </xf>
    <xf numFmtId="1" fontId="24" fillId="24" borderId="10" xfId="0" applyNumberFormat="1" applyFont="1" applyFill="1" applyBorder="1" applyAlignment="1">
      <alignment horizontal="center"/>
    </xf>
    <xf numFmtId="1" fontId="34" fillId="0" borderId="10" xfId="53" applyNumberFormat="1" applyFont="1" applyFill="1" applyBorder="1" applyAlignment="1">
      <alignment horizontal="center"/>
    </xf>
    <xf numFmtId="0" fontId="24" fillId="0" borderId="0" xfId="48" applyFont="1"/>
    <xf numFmtId="1" fontId="24" fillId="0" borderId="10" xfId="53" applyNumberFormat="1" applyFont="1" applyFill="1" applyBorder="1" applyAlignment="1">
      <alignment horizontal="center"/>
    </xf>
    <xf numFmtId="1" fontId="39" fillId="24" borderId="10" xfId="0" applyNumberFormat="1" applyFont="1" applyFill="1" applyBorder="1" applyAlignment="1">
      <alignment horizontal="center" vertical="center"/>
    </xf>
    <xf numFmtId="0" fontId="34" fillId="0" borderId="10" xfId="53" applyFont="1" applyFill="1" applyBorder="1" applyAlignment="1">
      <alignment horizontal="center"/>
    </xf>
    <xf numFmtId="1" fontId="39" fillId="24" borderId="10" xfId="0" applyNumberFormat="1" applyFont="1" applyFill="1" applyBorder="1" applyAlignment="1">
      <alignment horizontal="center" vertical="center" wrapText="1"/>
    </xf>
    <xf numFmtId="2" fontId="39" fillId="0" borderId="10" xfId="0" applyNumberFormat="1" applyFont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166" fontId="34" fillId="0" borderId="10" xfId="48" applyNumberFormat="1" applyFont="1" applyFill="1" applyBorder="1"/>
    <xf numFmtId="1" fontId="34" fillId="0" borderId="10" xfId="48" applyNumberFormat="1" applyFont="1" applyBorder="1" applyAlignment="1">
      <alignment horizontal="center" vertical="center"/>
    </xf>
    <xf numFmtId="0" fontId="34" fillId="25" borderId="12" xfId="48" applyFont="1" applyFill="1" applyBorder="1" applyAlignment="1">
      <alignment horizontal="left"/>
    </xf>
    <xf numFmtId="0" fontId="34" fillId="25" borderId="22" xfId="48" applyFont="1" applyFill="1" applyBorder="1" applyAlignment="1">
      <alignment horizontal="left"/>
    </xf>
    <xf numFmtId="0" fontId="34" fillId="25" borderId="13" xfId="48" applyFont="1" applyFill="1" applyBorder="1" applyAlignment="1">
      <alignment horizontal="left"/>
    </xf>
    <xf numFmtId="4" fontId="24" fillId="0" borderId="10" xfId="48" applyNumberFormat="1" applyFont="1" applyFill="1" applyBorder="1" applyAlignment="1">
      <alignment horizontal="center" vertical="center"/>
    </xf>
    <xf numFmtId="0" fontId="24" fillId="0" borderId="10" xfId="53" applyFont="1" applyFill="1" applyBorder="1" applyAlignment="1">
      <alignment horizontal="center"/>
    </xf>
    <xf numFmtId="1" fontId="24" fillId="24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4" fillId="0" borderId="0" xfId="48" applyFont="1" applyFill="1" applyAlignment="1" applyProtection="1">
      <alignment horizontal="center"/>
      <protection hidden="1"/>
    </xf>
    <xf numFmtId="0" fontId="24" fillId="26" borderId="10" xfId="53" applyFont="1" applyFill="1" applyBorder="1" applyAlignment="1">
      <alignment horizontal="left"/>
    </xf>
    <xf numFmtId="1" fontId="34" fillId="26" borderId="10" xfId="53" applyNumberFormat="1" applyFont="1" applyFill="1" applyBorder="1" applyAlignment="1">
      <alignment horizontal="center" wrapText="1"/>
    </xf>
    <xf numFmtId="1" fontId="24" fillId="26" borderId="10" xfId="53" applyNumberFormat="1" applyFont="1" applyFill="1" applyBorder="1" applyAlignment="1">
      <alignment horizontal="center"/>
    </xf>
    <xf numFmtId="1" fontId="39" fillId="26" borderId="10" xfId="0" applyNumberFormat="1" applyFont="1" applyFill="1" applyBorder="1" applyAlignment="1">
      <alignment horizontal="center" vertical="center"/>
    </xf>
    <xf numFmtId="0" fontId="24" fillId="0" borderId="20" xfId="48" applyFont="1" applyFill="1" applyBorder="1" applyAlignment="1" applyProtection="1">
      <alignment horizontal="left"/>
      <protection hidden="1"/>
    </xf>
    <xf numFmtId="0" fontId="34" fillId="0" borderId="20" xfId="48" applyFont="1" applyFill="1" applyBorder="1" applyAlignment="1" applyProtection="1">
      <alignment horizontal="center"/>
      <protection hidden="1"/>
    </xf>
    <xf numFmtId="0" fontId="24" fillId="0" borderId="20" xfId="48" applyFont="1" applyFill="1" applyBorder="1" applyAlignment="1" applyProtection="1">
      <alignment horizontal="center"/>
      <protection hidden="1"/>
    </xf>
    <xf numFmtId="0" fontId="34" fillId="26" borderId="10" xfId="53" applyFont="1" applyFill="1" applyBorder="1" applyAlignment="1">
      <alignment horizontal="center"/>
    </xf>
    <xf numFmtId="166" fontId="34" fillId="26" borderId="10" xfId="48" applyNumberFormat="1" applyFont="1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vertical="top" wrapText="1"/>
    </xf>
    <xf numFmtId="0" fontId="0" fillId="0" borderId="10" xfId="0" applyNumberFormat="1" applyFont="1" applyFill="1" applyBorder="1" applyAlignment="1">
      <alignment horizontal="center" vertical="top" wrapText="1"/>
    </xf>
    <xf numFmtId="1" fontId="0" fillId="0" borderId="10" xfId="0" applyNumberFormat="1" applyFont="1" applyFill="1" applyBorder="1" applyAlignment="1">
      <alignment horizontal="center"/>
    </xf>
    <xf numFmtId="4" fontId="24" fillId="0" borderId="10" xfId="0" applyNumberFormat="1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0" fontId="0" fillId="25" borderId="0" xfId="0" applyFont="1" applyFill="1" applyAlignment="1">
      <alignment horizontal="center"/>
    </xf>
    <xf numFmtId="168" fontId="24" fillId="0" borderId="10" xfId="0" applyNumberFormat="1" applyFont="1" applyFill="1" applyBorder="1" applyAlignment="1">
      <alignment horizontal="center"/>
    </xf>
    <xf numFmtId="2" fontId="24" fillId="0" borderId="10" xfId="0" applyNumberFormat="1" applyFont="1" applyBorder="1" applyAlignment="1">
      <alignment horizontal="center"/>
    </xf>
    <xf numFmtId="4" fontId="24" fillId="0" borderId="10" xfId="0" applyNumberFormat="1" applyFont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2" fontId="24" fillId="0" borderId="10" xfId="0" applyNumberFormat="1" applyFont="1" applyFill="1" applyBorder="1" applyAlignment="1">
      <alignment horizontal="center"/>
    </xf>
    <xf numFmtId="4" fontId="24" fillId="0" borderId="12" xfId="0" applyNumberFormat="1" applyFont="1" applyBorder="1" applyAlignment="1">
      <alignment horizontal="center"/>
    </xf>
    <xf numFmtId="4" fontId="24" fillId="0" borderId="12" xfId="0" applyNumberFormat="1" applyFont="1" applyFill="1" applyBorder="1" applyAlignment="1">
      <alignment horizontal="center"/>
    </xf>
    <xf numFmtId="4" fontId="24" fillId="0" borderId="10" xfId="56" applyNumberFormat="1" applyFont="1" applyFill="1" applyBorder="1" applyAlignment="1">
      <alignment horizontal="center" wrapText="1"/>
    </xf>
    <xf numFmtId="0" fontId="0" fillId="25" borderId="10" xfId="0" applyFont="1" applyFill="1" applyBorder="1" applyAlignment="1">
      <alignment horizontal="center"/>
    </xf>
    <xf numFmtId="0" fontId="24" fillId="26" borderId="10" xfId="1" applyFont="1" applyFill="1" applyBorder="1" applyAlignment="1" applyProtection="1">
      <alignment horizontal="left" vertical="center" wrapText="1"/>
      <protection hidden="1"/>
    </xf>
    <xf numFmtId="0" fontId="24" fillId="26" borderId="10" xfId="1" applyFont="1" applyFill="1" applyBorder="1" applyAlignment="1" applyProtection="1">
      <alignment horizontal="center" vertical="center" wrapText="1"/>
      <protection hidden="1"/>
    </xf>
    <xf numFmtId="0" fontId="0" fillId="26" borderId="10" xfId="0" applyFont="1" applyFill="1" applyBorder="1" applyAlignment="1">
      <alignment horizontal="center"/>
    </xf>
    <xf numFmtId="2" fontId="24" fillId="26" borderId="10" xfId="0" applyNumberFormat="1" applyFont="1" applyFill="1" applyBorder="1" applyAlignment="1">
      <alignment horizontal="center"/>
    </xf>
    <xf numFmtId="4" fontId="24" fillId="26" borderId="10" xfId="0" applyNumberFormat="1" applyFont="1" applyFill="1" applyBorder="1" applyAlignment="1">
      <alignment horizontal="center"/>
    </xf>
    <xf numFmtId="4" fontId="24" fillId="26" borderId="12" xfId="0" applyNumberFormat="1" applyFont="1" applyFill="1" applyBorder="1" applyAlignment="1">
      <alignment horizontal="center"/>
    </xf>
    <xf numFmtId="4" fontId="24" fillId="26" borderId="10" xfId="56" applyNumberFormat="1" applyFont="1" applyFill="1" applyBorder="1" applyAlignment="1">
      <alignment horizontal="center" wrapText="1"/>
    </xf>
    <xf numFmtId="167" fontId="0" fillId="26" borderId="11" xfId="0" applyNumberFormat="1" applyFill="1" applyBorder="1" applyAlignment="1">
      <alignment horizontal="center"/>
    </xf>
    <xf numFmtId="0" fontId="32" fillId="26" borderId="10" xfId="0" applyFont="1" applyFill="1" applyBorder="1" applyAlignment="1">
      <alignment horizontal="center"/>
    </xf>
    <xf numFmtId="4" fontId="32" fillId="26" borderId="10" xfId="0" applyNumberFormat="1" applyFont="1" applyFill="1" applyBorder="1" applyAlignment="1">
      <alignment horizontal="center" vertical="center"/>
    </xf>
    <xf numFmtId="0" fontId="40" fillId="0" borderId="10" xfId="1" applyFont="1" applyFill="1" applyBorder="1" applyAlignment="1" applyProtection="1">
      <alignment horizontal="center" vertical="center" wrapText="1"/>
      <protection hidden="1"/>
    </xf>
    <xf numFmtId="0" fontId="40" fillId="0" borderId="10" xfId="0" applyFont="1" applyFill="1" applyBorder="1" applyAlignment="1" applyProtection="1">
      <alignment horizontal="left"/>
      <protection hidden="1"/>
    </xf>
    <xf numFmtId="0" fontId="40" fillId="0" borderId="10" xfId="0" applyFont="1" applyFill="1" applyBorder="1" applyAlignment="1" applyProtection="1">
      <alignment horizontal="center"/>
      <protection hidden="1"/>
    </xf>
    <xf numFmtId="0" fontId="40" fillId="0" borderId="10" xfId="1" applyFont="1" applyFill="1" applyBorder="1" applyAlignment="1" applyProtection="1">
      <alignment horizontal="center" wrapText="1"/>
      <protection hidden="1"/>
    </xf>
    <xf numFmtId="4" fontId="40" fillId="0" borderId="11" xfId="52" applyNumberFormat="1" applyFont="1" applyBorder="1" applyAlignment="1">
      <alignment horizontal="center" vertical="center" wrapText="1"/>
    </xf>
    <xf numFmtId="4" fontId="42" fillId="0" borderId="10" xfId="0" applyNumberFormat="1" applyFont="1" applyBorder="1" applyAlignment="1">
      <alignment horizontal="center"/>
    </xf>
    <xf numFmtId="0" fontId="40" fillId="0" borderId="10" xfId="1" applyFont="1" applyFill="1" applyBorder="1" applyAlignment="1" applyProtection="1">
      <alignment horizontal="left" wrapText="1"/>
      <protection hidden="1"/>
    </xf>
    <xf numFmtId="4" fontId="40" fillId="0" borderId="10" xfId="52" applyNumberFormat="1" applyFont="1" applyBorder="1" applyAlignment="1">
      <alignment horizontal="center" vertical="center" wrapText="1"/>
    </xf>
    <xf numFmtId="0" fontId="43" fillId="0" borderId="10" xfId="0" applyFont="1" applyBorder="1"/>
    <xf numFmtId="0" fontId="42" fillId="0" borderId="10" xfId="0" applyFont="1" applyBorder="1"/>
    <xf numFmtId="0" fontId="43" fillId="0" borderId="10" xfId="0" applyFont="1" applyBorder="1" applyAlignment="1">
      <alignment horizontal="center" vertical="center"/>
    </xf>
    <xf numFmtId="4" fontId="43" fillId="0" borderId="10" xfId="0" applyNumberFormat="1" applyFont="1" applyBorder="1"/>
    <xf numFmtId="4" fontId="43" fillId="0" borderId="10" xfId="0" applyNumberFormat="1" applyFont="1" applyBorder="1" applyAlignment="1">
      <alignment horizontal="center" vertical="center"/>
    </xf>
    <xf numFmtId="4" fontId="40" fillId="0" borderId="10" xfId="52" applyNumberFormat="1" applyFont="1" applyFill="1" applyBorder="1" applyAlignment="1">
      <alignment horizontal="center" vertical="center" wrapText="1"/>
    </xf>
    <xf numFmtId="4" fontId="42" fillId="0" borderId="11" xfId="0" applyNumberFormat="1" applyFont="1" applyFill="1" applyBorder="1" applyAlignment="1">
      <alignment horizontal="center" vertical="center" wrapText="1"/>
    </xf>
    <xf numFmtId="0" fontId="40" fillId="26" borderId="10" xfId="1" applyFont="1" applyFill="1" applyBorder="1" applyAlignment="1" applyProtection="1">
      <alignment horizontal="left" wrapText="1"/>
      <protection hidden="1"/>
    </xf>
    <xf numFmtId="0" fontId="40" fillId="26" borderId="10" xfId="1" applyFont="1" applyFill="1" applyBorder="1" applyAlignment="1" applyProtection="1">
      <alignment horizontal="center" wrapText="1"/>
      <protection hidden="1"/>
    </xf>
    <xf numFmtId="4" fontId="40" fillId="26" borderId="11" xfId="52" applyNumberFormat="1" applyFont="1" applyFill="1" applyBorder="1" applyAlignment="1">
      <alignment horizontal="center" vertical="center" wrapText="1"/>
    </xf>
    <xf numFmtId="0" fontId="40" fillId="0" borderId="11" xfId="1" applyFont="1" applyFill="1" applyBorder="1" applyAlignment="1" applyProtection="1">
      <alignment horizontal="left" wrapText="1"/>
      <protection hidden="1"/>
    </xf>
    <xf numFmtId="4" fontId="42" fillId="26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10" xfId="1" applyFont="1" applyFill="1" applyBorder="1" applyAlignment="1" applyProtection="1">
      <alignment horizontal="left" vertical="center" wrapText="1"/>
      <protection hidden="1"/>
    </xf>
    <xf numFmtId="0" fontId="5" fillId="0" borderId="10" xfId="52" applyFont="1" applyFill="1" applyBorder="1" applyAlignment="1">
      <alignment horizontal="left" wrapText="1"/>
    </xf>
    <xf numFmtId="0" fontId="5" fillId="0" borderId="10" xfId="52" applyFill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3" fontId="39" fillId="26" borderId="10" xfId="0" applyNumberFormat="1" applyFont="1" applyFill="1" applyBorder="1" applyAlignment="1">
      <alignment horizontal="center" vertical="center"/>
    </xf>
    <xf numFmtId="3" fontId="39" fillId="0" borderId="10" xfId="0" applyNumberFormat="1" applyFont="1" applyFill="1" applyBorder="1" applyAlignment="1">
      <alignment horizontal="center" vertical="center"/>
    </xf>
    <xf numFmtId="3" fontId="34" fillId="0" borderId="10" xfId="48" applyNumberFormat="1" applyFont="1" applyBorder="1" applyAlignment="1">
      <alignment horizontal="center" vertical="center"/>
    </xf>
    <xf numFmtId="0" fontId="34" fillId="0" borderId="0" xfId="48" applyFont="1"/>
    <xf numFmtId="0" fontId="34" fillId="25" borderId="13" xfId="48" applyFont="1" applyFill="1" applyBorder="1" applyAlignment="1">
      <alignment horizontal="left" vertical="center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50"/>
    <cellStyle name="Обычный 2 3" xfId="49"/>
    <cellStyle name="Обычный 2_СВОД на 01.07.14" xfId="38"/>
    <cellStyle name="Обычный 3" xfId="39"/>
    <cellStyle name="Обычный 4" xfId="1"/>
    <cellStyle name="Обычный 5" xfId="48"/>
    <cellStyle name="Обычный 5 2" xfId="52"/>
    <cellStyle name="Обычный 5 3" xfId="54"/>
    <cellStyle name="Обычный 5 3 2" xfId="56"/>
    <cellStyle name="Обычный 5 4" xfId="55"/>
    <cellStyle name="Обычный 5 4 2" xfId="57"/>
    <cellStyle name="Обычный_ЖУ" xfId="53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Текст предупреждения 2" xfId="45"/>
    <cellStyle name="Финансовый 2" xfId="46"/>
    <cellStyle name="Финансовый 3" xfId="51"/>
    <cellStyle name="Финансовый 3 2" xfId="58"/>
    <cellStyle name="Хороший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7;&#1042;&#1054;&#1044;%20&#1052;&#1050;&#1044;%20&#1080;%20&#1048;&#1046;&#1044;%20&#1091;&#1090;&#1086;&#1095;&#1085;&#1077;&#1085;&#1080;&#1077;%20&#1085;&#1072;%2001.08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.08%20(version%2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6;&#1077;&#1077;&#1089;&#1090;&#1088;%20&#1087;&#1086;%20&#1052;&#1050;&#1044;%20&#1080;%20&#1059;&#1050;%20&#1085;&#1072;%2010.09.2018%20&#1080;&#1085;&#1092;%20&#1052;&#1050;&#1059;%20&#1059;&#1043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/>
      <sheetData sheetId="1">
        <row r="8">
          <cell r="H8">
            <v>16</v>
          </cell>
        </row>
        <row r="10">
          <cell r="H10">
            <v>12</v>
          </cell>
        </row>
        <row r="12">
          <cell r="H12">
            <v>12</v>
          </cell>
        </row>
        <row r="13">
          <cell r="H13">
            <v>13</v>
          </cell>
        </row>
        <row r="15">
          <cell r="H15">
            <v>24</v>
          </cell>
        </row>
        <row r="16">
          <cell r="H16">
            <v>16</v>
          </cell>
        </row>
        <row r="32">
          <cell r="H32">
            <v>72</v>
          </cell>
        </row>
        <row r="69">
          <cell r="H69">
            <v>49</v>
          </cell>
        </row>
        <row r="76">
          <cell r="H76">
            <v>72</v>
          </cell>
        </row>
        <row r="94">
          <cell r="H94">
            <v>84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7">
          <cell r="H117">
            <v>15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67">
          <cell r="H167">
            <v>58</v>
          </cell>
        </row>
        <row r="168">
          <cell r="H168">
            <v>19</v>
          </cell>
        </row>
        <row r="169">
          <cell r="H169">
            <v>60</v>
          </cell>
        </row>
        <row r="170">
          <cell r="H170">
            <v>60</v>
          </cell>
        </row>
        <row r="171">
          <cell r="H171">
            <v>79</v>
          </cell>
        </row>
        <row r="172">
          <cell r="H172">
            <v>99</v>
          </cell>
        </row>
        <row r="173">
          <cell r="H173">
            <v>46</v>
          </cell>
        </row>
        <row r="174">
          <cell r="H174">
            <v>48</v>
          </cell>
        </row>
        <row r="175">
          <cell r="H175">
            <v>149</v>
          </cell>
        </row>
        <row r="176">
          <cell r="H176">
            <v>35</v>
          </cell>
        </row>
        <row r="177">
          <cell r="H177">
            <v>35</v>
          </cell>
        </row>
        <row r="178">
          <cell r="H178">
            <v>34</v>
          </cell>
        </row>
        <row r="179">
          <cell r="H179">
            <v>70</v>
          </cell>
        </row>
        <row r="180">
          <cell r="H180">
            <v>70</v>
          </cell>
        </row>
        <row r="181">
          <cell r="H181">
            <v>24</v>
          </cell>
        </row>
        <row r="191">
          <cell r="H191">
            <v>16</v>
          </cell>
        </row>
        <row r="192">
          <cell r="H192">
            <v>24</v>
          </cell>
        </row>
        <row r="193">
          <cell r="H193">
            <v>36</v>
          </cell>
        </row>
        <row r="194">
          <cell r="H194">
            <v>16</v>
          </cell>
        </row>
        <row r="195">
          <cell r="H195">
            <v>60</v>
          </cell>
        </row>
        <row r="196">
          <cell r="H196">
            <v>48</v>
          </cell>
        </row>
        <row r="197">
          <cell r="H197">
            <v>66</v>
          </cell>
        </row>
        <row r="198">
          <cell r="H198">
            <v>109</v>
          </cell>
        </row>
        <row r="199">
          <cell r="H199">
            <v>80</v>
          </cell>
        </row>
        <row r="200">
          <cell r="H200">
            <v>60</v>
          </cell>
        </row>
        <row r="201">
          <cell r="H201">
            <v>56</v>
          </cell>
        </row>
        <row r="202">
          <cell r="H202">
            <v>116</v>
          </cell>
        </row>
        <row r="203">
          <cell r="H203">
            <v>126</v>
          </cell>
        </row>
        <row r="204">
          <cell r="H204">
            <v>60</v>
          </cell>
        </row>
        <row r="205">
          <cell r="H205">
            <v>60</v>
          </cell>
        </row>
        <row r="206">
          <cell r="H206">
            <v>143</v>
          </cell>
        </row>
        <row r="207">
          <cell r="H207">
            <v>68</v>
          </cell>
        </row>
        <row r="208">
          <cell r="H208">
            <v>26</v>
          </cell>
        </row>
        <row r="209">
          <cell r="H209">
            <v>169</v>
          </cell>
        </row>
        <row r="210">
          <cell r="H210">
            <v>133</v>
          </cell>
        </row>
        <row r="211">
          <cell r="H211">
            <v>12</v>
          </cell>
        </row>
        <row r="212">
          <cell r="H212">
            <v>12</v>
          </cell>
        </row>
        <row r="213">
          <cell r="H213">
            <v>30</v>
          </cell>
        </row>
        <row r="214">
          <cell r="H214">
            <v>12</v>
          </cell>
        </row>
        <row r="215">
          <cell r="H215">
            <v>12</v>
          </cell>
        </row>
        <row r="216">
          <cell r="H216">
            <v>48</v>
          </cell>
        </row>
        <row r="217">
          <cell r="H217">
            <v>48</v>
          </cell>
        </row>
        <row r="218">
          <cell r="H218">
            <v>8</v>
          </cell>
        </row>
        <row r="219">
          <cell r="H219">
            <v>16</v>
          </cell>
        </row>
        <row r="220">
          <cell r="H220">
            <v>36</v>
          </cell>
        </row>
        <row r="221">
          <cell r="H221">
            <v>18</v>
          </cell>
        </row>
        <row r="222">
          <cell r="H222">
            <v>50</v>
          </cell>
        </row>
        <row r="223">
          <cell r="H223">
            <v>47</v>
          </cell>
        </row>
        <row r="224">
          <cell r="H224">
            <v>76</v>
          </cell>
        </row>
        <row r="225">
          <cell r="H225">
            <v>183</v>
          </cell>
        </row>
        <row r="226">
          <cell r="H226">
            <v>68</v>
          </cell>
        </row>
        <row r="228">
          <cell r="H228">
            <v>98</v>
          </cell>
        </row>
        <row r="230">
          <cell r="H230">
            <v>15</v>
          </cell>
        </row>
        <row r="231">
          <cell r="H231">
            <v>2</v>
          </cell>
        </row>
        <row r="232">
          <cell r="H232">
            <v>12</v>
          </cell>
        </row>
        <row r="235">
          <cell r="H235">
            <v>8</v>
          </cell>
        </row>
        <row r="238">
          <cell r="H238">
            <v>19</v>
          </cell>
        </row>
        <row r="239">
          <cell r="H239">
            <v>12</v>
          </cell>
        </row>
        <row r="242">
          <cell r="H242">
            <v>12</v>
          </cell>
        </row>
        <row r="243">
          <cell r="H243">
            <v>12</v>
          </cell>
        </row>
        <row r="245">
          <cell r="H245">
            <v>12</v>
          </cell>
        </row>
        <row r="246">
          <cell r="H246">
            <v>8</v>
          </cell>
        </row>
        <row r="250">
          <cell r="H250">
            <v>4</v>
          </cell>
        </row>
        <row r="251">
          <cell r="H251">
            <v>16</v>
          </cell>
        </row>
        <row r="252">
          <cell r="H252">
            <v>12</v>
          </cell>
        </row>
        <row r="256">
          <cell r="H256">
            <v>12</v>
          </cell>
        </row>
        <row r="264">
          <cell r="H264">
            <v>15</v>
          </cell>
        </row>
        <row r="276">
          <cell r="H276">
            <v>16</v>
          </cell>
        </row>
        <row r="279">
          <cell r="H279">
            <v>48</v>
          </cell>
        </row>
        <row r="339">
          <cell r="H339">
            <v>12</v>
          </cell>
        </row>
        <row r="352">
          <cell r="H352">
            <v>96</v>
          </cell>
        </row>
        <row r="353">
          <cell r="H353">
            <v>60</v>
          </cell>
        </row>
        <row r="370">
          <cell r="H370">
            <v>12</v>
          </cell>
        </row>
        <row r="377">
          <cell r="H377">
            <v>12</v>
          </cell>
        </row>
        <row r="382">
          <cell r="H382">
            <v>12</v>
          </cell>
        </row>
        <row r="386">
          <cell r="H386">
            <v>12</v>
          </cell>
        </row>
      </sheetData>
      <sheetData sheetId="2"/>
      <sheetData sheetId="3">
        <row r="129">
          <cell r="J129">
            <v>14</v>
          </cell>
        </row>
        <row r="131">
          <cell r="J131">
            <v>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">
          <cell r="H7">
            <v>16</v>
          </cell>
        </row>
        <row r="8">
          <cell r="H8">
            <v>16</v>
          </cell>
        </row>
        <row r="9">
          <cell r="H9">
            <v>16</v>
          </cell>
        </row>
        <row r="10">
          <cell r="H10">
            <v>12</v>
          </cell>
        </row>
        <row r="11">
          <cell r="H11">
            <v>12</v>
          </cell>
        </row>
        <row r="12">
          <cell r="H12">
            <v>12</v>
          </cell>
        </row>
        <row r="13">
          <cell r="H13">
            <v>13</v>
          </cell>
        </row>
        <row r="14">
          <cell r="H14">
            <v>16</v>
          </cell>
        </row>
        <row r="15">
          <cell r="H15">
            <v>24</v>
          </cell>
        </row>
        <row r="16">
          <cell r="H16">
            <v>16</v>
          </cell>
        </row>
        <row r="17">
          <cell r="H17">
            <v>12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H21">
            <v>12</v>
          </cell>
        </row>
        <row r="22">
          <cell r="H22">
            <v>6</v>
          </cell>
        </row>
        <row r="23">
          <cell r="H23">
            <v>2</v>
          </cell>
        </row>
        <row r="24">
          <cell r="H24">
            <v>24</v>
          </cell>
        </row>
        <row r="25">
          <cell r="H25">
            <v>12</v>
          </cell>
        </row>
        <row r="26">
          <cell r="H26">
            <v>5</v>
          </cell>
        </row>
        <row r="27">
          <cell r="H27">
            <v>8</v>
          </cell>
        </row>
        <row r="28">
          <cell r="H28">
            <v>12</v>
          </cell>
        </row>
        <row r="29">
          <cell r="H29">
            <v>20</v>
          </cell>
        </row>
        <row r="30">
          <cell r="H30">
            <v>20</v>
          </cell>
        </row>
        <row r="31">
          <cell r="H31">
            <v>33</v>
          </cell>
        </row>
        <row r="32">
          <cell r="H32">
            <v>72</v>
          </cell>
        </row>
        <row r="33">
          <cell r="H33">
            <v>26</v>
          </cell>
        </row>
        <row r="34">
          <cell r="H34">
            <v>8</v>
          </cell>
        </row>
        <row r="35">
          <cell r="H35">
            <v>8</v>
          </cell>
        </row>
        <row r="36">
          <cell r="H36">
            <v>12</v>
          </cell>
        </row>
        <row r="37">
          <cell r="H37">
            <v>8</v>
          </cell>
        </row>
        <row r="38">
          <cell r="H38">
            <v>12</v>
          </cell>
        </row>
        <row r="39">
          <cell r="H39">
            <v>12</v>
          </cell>
        </row>
        <row r="40">
          <cell r="H40">
            <v>12</v>
          </cell>
        </row>
        <row r="41">
          <cell r="H41">
            <v>12</v>
          </cell>
        </row>
        <row r="42">
          <cell r="H42">
            <v>12</v>
          </cell>
        </row>
        <row r="43">
          <cell r="H43">
            <v>12</v>
          </cell>
        </row>
        <row r="44">
          <cell r="H44">
            <v>12</v>
          </cell>
        </row>
        <row r="45">
          <cell r="H45">
            <v>2</v>
          </cell>
        </row>
        <row r="46">
          <cell r="H46">
            <v>9</v>
          </cell>
        </row>
        <row r="47">
          <cell r="H47">
            <v>12</v>
          </cell>
        </row>
        <row r="48">
          <cell r="H48">
            <v>12</v>
          </cell>
        </row>
        <row r="49">
          <cell r="H49">
            <v>8</v>
          </cell>
        </row>
        <row r="50">
          <cell r="H50">
            <v>12</v>
          </cell>
        </row>
        <row r="51">
          <cell r="H51">
            <v>12</v>
          </cell>
        </row>
        <row r="52">
          <cell r="H52">
            <v>12</v>
          </cell>
        </row>
        <row r="53">
          <cell r="H53">
            <v>12</v>
          </cell>
        </row>
        <row r="55">
          <cell r="H55">
            <v>12</v>
          </cell>
        </row>
        <row r="57">
          <cell r="H57">
            <v>12</v>
          </cell>
        </row>
        <row r="58">
          <cell r="H58">
            <v>12</v>
          </cell>
        </row>
        <row r="59">
          <cell r="H59">
            <v>12</v>
          </cell>
        </row>
        <row r="60">
          <cell r="H60">
            <v>12</v>
          </cell>
        </row>
        <row r="62">
          <cell r="H62">
            <v>3</v>
          </cell>
        </row>
        <row r="63">
          <cell r="H63">
            <v>12</v>
          </cell>
        </row>
        <row r="64">
          <cell r="H64">
            <v>12</v>
          </cell>
        </row>
        <row r="65">
          <cell r="H65">
            <v>12</v>
          </cell>
        </row>
        <row r="66">
          <cell r="H66">
            <v>12</v>
          </cell>
        </row>
        <row r="67">
          <cell r="H67">
            <v>12</v>
          </cell>
        </row>
        <row r="68">
          <cell r="H68">
            <v>12</v>
          </cell>
        </row>
        <row r="69">
          <cell r="H69">
            <v>49</v>
          </cell>
        </row>
        <row r="123">
          <cell r="H123">
            <v>126</v>
          </cell>
        </row>
        <row r="343">
          <cell r="H343">
            <v>33</v>
          </cell>
        </row>
        <row r="344">
          <cell r="H344">
            <v>33</v>
          </cell>
        </row>
        <row r="345">
          <cell r="H345">
            <v>42</v>
          </cell>
        </row>
        <row r="346">
          <cell r="H346">
            <v>140</v>
          </cell>
        </row>
        <row r="347">
          <cell r="H347">
            <v>218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0">
          <cell r="H70">
            <v>12</v>
          </cell>
        </row>
        <row r="72">
          <cell r="H72">
            <v>12</v>
          </cell>
        </row>
        <row r="73">
          <cell r="H73">
            <v>12</v>
          </cell>
        </row>
        <row r="74">
          <cell r="H74">
            <v>8</v>
          </cell>
        </row>
        <row r="75">
          <cell r="H75">
            <v>24</v>
          </cell>
        </row>
        <row r="76">
          <cell r="H76">
            <v>72</v>
          </cell>
        </row>
        <row r="77">
          <cell r="H77">
            <v>4</v>
          </cell>
        </row>
        <row r="78">
          <cell r="H78">
            <v>12</v>
          </cell>
        </row>
        <row r="79">
          <cell r="H79">
            <v>12</v>
          </cell>
        </row>
        <row r="80">
          <cell r="H80">
            <v>12</v>
          </cell>
        </row>
        <row r="81">
          <cell r="H81">
            <v>12</v>
          </cell>
        </row>
        <row r="83">
          <cell r="H83">
            <v>16</v>
          </cell>
        </row>
        <row r="84">
          <cell r="H84">
            <v>8</v>
          </cell>
        </row>
        <row r="85">
          <cell r="H85">
            <v>12</v>
          </cell>
        </row>
        <row r="86">
          <cell r="H86">
            <v>12</v>
          </cell>
        </row>
        <row r="87">
          <cell r="H87">
            <v>10</v>
          </cell>
        </row>
        <row r="88">
          <cell r="H88">
            <v>12</v>
          </cell>
        </row>
        <row r="89">
          <cell r="H89">
            <v>12</v>
          </cell>
        </row>
        <row r="90">
          <cell r="H90">
            <v>8</v>
          </cell>
        </row>
        <row r="91">
          <cell r="H91">
            <v>12</v>
          </cell>
        </row>
        <row r="92">
          <cell r="H92">
            <v>12</v>
          </cell>
        </row>
        <row r="93">
          <cell r="H93">
            <v>20</v>
          </cell>
        </row>
        <row r="94">
          <cell r="H94">
            <v>84</v>
          </cell>
        </row>
        <row r="95">
          <cell r="H95">
            <v>8</v>
          </cell>
        </row>
        <row r="96">
          <cell r="H96">
            <v>8</v>
          </cell>
        </row>
        <row r="97">
          <cell r="H97">
            <v>8</v>
          </cell>
        </row>
        <row r="98">
          <cell r="H98">
            <v>20</v>
          </cell>
        </row>
        <row r="99">
          <cell r="H99">
            <v>12</v>
          </cell>
        </row>
        <row r="100">
          <cell r="H100">
            <v>12</v>
          </cell>
        </row>
        <row r="101">
          <cell r="H101">
            <v>12</v>
          </cell>
        </row>
        <row r="102">
          <cell r="H102">
            <v>12</v>
          </cell>
        </row>
        <row r="103">
          <cell r="H103">
            <v>4</v>
          </cell>
        </row>
        <row r="104">
          <cell r="H104">
            <v>12</v>
          </cell>
        </row>
        <row r="105">
          <cell r="H105">
            <v>8</v>
          </cell>
        </row>
        <row r="106">
          <cell r="H106">
            <v>12</v>
          </cell>
        </row>
        <row r="107">
          <cell r="H107">
            <v>12</v>
          </cell>
        </row>
        <row r="108">
          <cell r="H108">
            <v>12</v>
          </cell>
        </row>
        <row r="109">
          <cell r="H109">
            <v>12</v>
          </cell>
        </row>
        <row r="110">
          <cell r="H110">
            <v>12</v>
          </cell>
        </row>
        <row r="111">
          <cell r="H111">
            <v>12</v>
          </cell>
        </row>
        <row r="112">
          <cell r="H112">
            <v>12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6">
          <cell r="H116">
            <v>12</v>
          </cell>
        </row>
        <row r="117">
          <cell r="H117">
            <v>15</v>
          </cell>
        </row>
        <row r="118">
          <cell r="H118">
            <v>21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22">
          <cell r="H122">
            <v>12</v>
          </cell>
        </row>
        <row r="123">
          <cell r="H123">
            <v>126</v>
          </cell>
        </row>
        <row r="125">
          <cell r="H125">
            <v>12</v>
          </cell>
        </row>
        <row r="126">
          <cell r="H126">
            <v>12</v>
          </cell>
        </row>
        <row r="127">
          <cell r="H127">
            <v>8</v>
          </cell>
        </row>
        <row r="128">
          <cell r="H128">
            <v>12</v>
          </cell>
        </row>
        <row r="129">
          <cell r="H129">
            <v>8</v>
          </cell>
        </row>
        <row r="130">
          <cell r="H130">
            <v>12</v>
          </cell>
        </row>
        <row r="131">
          <cell r="H131">
            <v>12</v>
          </cell>
        </row>
        <row r="132">
          <cell r="H132">
            <v>8</v>
          </cell>
        </row>
        <row r="133">
          <cell r="H133">
            <v>8</v>
          </cell>
        </row>
        <row r="134">
          <cell r="H134">
            <v>12</v>
          </cell>
        </row>
        <row r="135">
          <cell r="H135">
            <v>12</v>
          </cell>
        </row>
        <row r="136">
          <cell r="H136">
            <v>12</v>
          </cell>
        </row>
        <row r="137">
          <cell r="H137">
            <v>11</v>
          </cell>
        </row>
        <row r="138">
          <cell r="H138">
            <v>30</v>
          </cell>
        </row>
        <row r="139">
          <cell r="H139">
            <v>12</v>
          </cell>
        </row>
        <row r="140">
          <cell r="H140">
            <v>12</v>
          </cell>
        </row>
        <row r="141">
          <cell r="H141">
            <v>4</v>
          </cell>
        </row>
        <row r="143">
          <cell r="H143">
            <v>12</v>
          </cell>
        </row>
        <row r="144">
          <cell r="H144">
            <v>12</v>
          </cell>
        </row>
        <row r="145">
          <cell r="H145">
            <v>12</v>
          </cell>
        </row>
        <row r="146">
          <cell r="H146">
            <v>35</v>
          </cell>
        </row>
        <row r="147">
          <cell r="H147">
            <v>12</v>
          </cell>
        </row>
        <row r="148">
          <cell r="H148">
            <v>12</v>
          </cell>
        </row>
        <row r="149">
          <cell r="H149">
            <v>12</v>
          </cell>
        </row>
        <row r="150">
          <cell r="H150">
            <v>12</v>
          </cell>
        </row>
        <row r="151">
          <cell r="H151">
            <v>12</v>
          </cell>
        </row>
        <row r="152">
          <cell r="H152">
            <v>12</v>
          </cell>
        </row>
        <row r="153">
          <cell r="H153">
            <v>16</v>
          </cell>
        </row>
        <row r="154">
          <cell r="H154">
            <v>12</v>
          </cell>
        </row>
        <row r="155">
          <cell r="H155">
            <v>27</v>
          </cell>
        </row>
        <row r="156">
          <cell r="H156">
            <v>12</v>
          </cell>
        </row>
        <row r="157">
          <cell r="H157">
            <v>12</v>
          </cell>
        </row>
        <row r="158">
          <cell r="H158">
            <v>12</v>
          </cell>
        </row>
        <row r="159">
          <cell r="H159">
            <v>8</v>
          </cell>
        </row>
        <row r="160">
          <cell r="H160">
            <v>8</v>
          </cell>
        </row>
        <row r="161">
          <cell r="H161">
            <v>16</v>
          </cell>
        </row>
        <row r="162">
          <cell r="H162">
            <v>8</v>
          </cell>
        </row>
        <row r="163">
          <cell r="H163">
            <v>17</v>
          </cell>
        </row>
        <row r="164">
          <cell r="H164">
            <v>12</v>
          </cell>
        </row>
        <row r="165">
          <cell r="H16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</sheetNames>
    <sheetDataSet>
      <sheetData sheetId="0">
        <row r="8">
          <cell r="D8">
            <v>4587.01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8">
          <cell r="M8">
            <v>1439.09</v>
          </cell>
        </row>
        <row r="9">
          <cell r="Y9">
            <v>402.19999999999891</v>
          </cell>
          <cell r="Z9">
            <v>403.09999999999945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</sheetNames>
    <sheetDataSet>
      <sheetData sheetId="0">
        <row r="9">
          <cell r="Y9">
            <v>418.39999999999895</v>
          </cell>
          <cell r="Z9">
            <v>481.99999999999943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УК новый"/>
      <sheetName val="расселен МКД"/>
      <sheetName val="Лист1"/>
    </sheetNames>
    <sheetDataSet>
      <sheetData sheetId="0">
        <row r="32">
          <cell r="G32">
            <v>12</v>
          </cell>
        </row>
        <row r="41">
          <cell r="G41">
            <v>12</v>
          </cell>
        </row>
        <row r="44">
          <cell r="G44">
            <v>12</v>
          </cell>
        </row>
        <row r="45">
          <cell r="G45">
            <v>12</v>
          </cell>
        </row>
        <row r="88">
          <cell r="G88">
            <v>8</v>
          </cell>
        </row>
        <row r="93">
          <cell r="G93">
            <v>8</v>
          </cell>
        </row>
        <row r="94">
          <cell r="G94">
            <v>12</v>
          </cell>
        </row>
        <row r="95">
          <cell r="G95">
            <v>8</v>
          </cell>
        </row>
        <row r="102">
          <cell r="G102">
            <v>12</v>
          </cell>
        </row>
        <row r="104">
          <cell r="G104">
            <v>12</v>
          </cell>
        </row>
        <row r="105">
          <cell r="G105">
            <v>12</v>
          </cell>
        </row>
        <row r="106">
          <cell r="G106">
            <v>12</v>
          </cell>
        </row>
        <row r="115">
          <cell r="G115">
            <v>8</v>
          </cell>
        </row>
        <row r="125">
          <cell r="G125">
            <v>20</v>
          </cell>
        </row>
        <row r="126">
          <cell r="G126">
            <v>12</v>
          </cell>
        </row>
        <row r="136">
          <cell r="G136">
            <v>12</v>
          </cell>
        </row>
        <row r="154">
          <cell r="G154">
            <v>12</v>
          </cell>
        </row>
        <row r="156">
          <cell r="G156">
            <v>12</v>
          </cell>
        </row>
        <row r="157">
          <cell r="G157">
            <v>12</v>
          </cell>
        </row>
        <row r="159">
          <cell r="G159">
            <v>12</v>
          </cell>
        </row>
        <row r="170">
          <cell r="G170">
            <v>12</v>
          </cell>
        </row>
        <row r="173">
          <cell r="G173">
            <v>12</v>
          </cell>
        </row>
        <row r="185">
          <cell r="G185">
            <v>12</v>
          </cell>
        </row>
        <row r="198">
          <cell r="G198">
            <v>12</v>
          </cell>
        </row>
        <row r="209">
          <cell r="G209">
            <v>12</v>
          </cell>
        </row>
        <row r="210">
          <cell r="G210">
            <v>8</v>
          </cell>
        </row>
        <row r="211">
          <cell r="G211">
            <v>8</v>
          </cell>
        </row>
        <row r="216">
          <cell r="G216">
            <v>16</v>
          </cell>
        </row>
        <row r="232">
          <cell r="G232">
            <v>12</v>
          </cell>
        </row>
        <row r="233">
          <cell r="G233">
            <v>12</v>
          </cell>
        </row>
        <row r="237">
          <cell r="G237">
            <v>12</v>
          </cell>
        </row>
        <row r="239">
          <cell r="G239">
            <v>12</v>
          </cell>
        </row>
        <row r="240">
          <cell r="G240">
            <v>12</v>
          </cell>
        </row>
        <row r="242">
          <cell r="G242">
            <v>8</v>
          </cell>
        </row>
        <row r="244">
          <cell r="G244">
            <v>12</v>
          </cell>
        </row>
        <row r="245">
          <cell r="G245">
            <v>12</v>
          </cell>
        </row>
        <row r="246">
          <cell r="G246">
            <v>12</v>
          </cell>
        </row>
        <row r="248">
          <cell r="G248">
            <v>12</v>
          </cell>
        </row>
        <row r="250">
          <cell r="G250">
            <v>12</v>
          </cell>
        </row>
        <row r="251">
          <cell r="G251">
            <v>12</v>
          </cell>
        </row>
        <row r="257">
          <cell r="G257">
            <v>16</v>
          </cell>
        </row>
        <row r="262">
          <cell r="G262">
            <v>72</v>
          </cell>
        </row>
        <row r="268">
          <cell r="G268">
            <v>12</v>
          </cell>
        </row>
        <row r="273">
          <cell r="G273">
            <v>12</v>
          </cell>
        </row>
        <row r="276">
          <cell r="G276">
            <v>12</v>
          </cell>
        </row>
        <row r="293">
          <cell r="G293">
            <v>12</v>
          </cell>
        </row>
        <row r="305">
          <cell r="G305">
            <v>24</v>
          </cell>
        </row>
        <row r="306">
          <cell r="G306">
            <v>8</v>
          </cell>
        </row>
        <row r="311">
          <cell r="G311">
            <v>12</v>
          </cell>
        </row>
        <row r="313">
          <cell r="G313">
            <v>12</v>
          </cell>
        </row>
        <row r="322">
          <cell r="G322">
            <v>12</v>
          </cell>
        </row>
        <row r="326">
          <cell r="G326">
            <v>12</v>
          </cell>
        </row>
        <row r="327">
          <cell r="G327">
            <v>16</v>
          </cell>
        </row>
        <row r="333">
          <cell r="G333">
            <v>12</v>
          </cell>
        </row>
        <row r="337">
          <cell r="G337">
            <v>24</v>
          </cell>
        </row>
        <row r="338">
          <cell r="G338">
            <v>35</v>
          </cell>
        </row>
        <row r="357">
          <cell r="G357">
            <v>12</v>
          </cell>
        </row>
        <row r="358">
          <cell r="G358">
            <v>12</v>
          </cell>
        </row>
        <row r="363">
          <cell r="G363">
            <v>12</v>
          </cell>
        </row>
        <row r="364">
          <cell r="G364">
            <v>12</v>
          </cell>
        </row>
        <row r="366">
          <cell r="G366">
            <v>12</v>
          </cell>
        </row>
        <row r="368">
          <cell r="G368">
            <v>12</v>
          </cell>
        </row>
        <row r="369">
          <cell r="G369">
            <v>12</v>
          </cell>
        </row>
        <row r="371">
          <cell r="G371">
            <v>12</v>
          </cell>
        </row>
        <row r="375">
          <cell r="G375">
            <v>12</v>
          </cell>
        </row>
        <row r="377">
          <cell r="G377">
            <v>12</v>
          </cell>
        </row>
        <row r="380">
          <cell r="G380">
            <v>12</v>
          </cell>
        </row>
        <row r="389">
          <cell r="G389">
            <v>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BreakPreview" zoomScaleNormal="100" zoomScaleSheetLayoutView="100" workbookViewId="0">
      <selection activeCell="M27" sqref="M27"/>
    </sheetView>
  </sheetViews>
  <sheetFormatPr defaultRowHeight="15"/>
  <cols>
    <col min="1" max="1" width="4.42578125" customWidth="1"/>
    <col min="2" max="2" width="26" customWidth="1"/>
    <col min="3" max="3" width="17.85546875" customWidth="1"/>
    <col min="4" max="4" width="13.7109375" customWidth="1"/>
    <col min="5" max="5" width="14.85546875" customWidth="1"/>
    <col min="6" max="6" width="19" customWidth="1"/>
    <col min="7" max="7" width="14.5703125" customWidth="1"/>
    <col min="8" max="8" width="14.140625" customWidth="1"/>
    <col min="9" max="9" width="15.42578125" customWidth="1"/>
    <col min="10" max="10" width="15.140625" customWidth="1"/>
    <col min="11" max="11" width="16.42578125" customWidth="1"/>
    <col min="12" max="12" width="16.85546875" customWidth="1"/>
    <col min="13" max="13" width="15.140625" customWidth="1"/>
    <col min="14" max="14" width="15.7109375" customWidth="1"/>
  </cols>
  <sheetData>
    <row r="1" spans="1:14" ht="52.5" customHeight="1">
      <c r="A1" s="151" t="s">
        <v>136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4" ht="52.5" customHeight="1">
      <c r="A2" s="154" t="s">
        <v>0</v>
      </c>
      <c r="B2" s="154" t="s">
        <v>106</v>
      </c>
      <c r="C2" s="156" t="s">
        <v>122</v>
      </c>
      <c r="D2" s="157" t="s">
        <v>11</v>
      </c>
      <c r="E2" s="158"/>
      <c r="F2" s="154" t="s">
        <v>123</v>
      </c>
      <c r="G2" s="157" t="s">
        <v>11</v>
      </c>
      <c r="H2" s="158"/>
      <c r="I2" s="156" t="s">
        <v>128</v>
      </c>
      <c r="J2" s="159" t="s">
        <v>11</v>
      </c>
      <c r="K2" s="159"/>
      <c r="L2" s="160" t="s">
        <v>107</v>
      </c>
      <c r="M2" s="149" t="s">
        <v>11</v>
      </c>
      <c r="N2" s="150"/>
    </row>
    <row r="3" spans="1:14" ht="60">
      <c r="A3" s="155"/>
      <c r="B3" s="155"/>
      <c r="C3" s="155"/>
      <c r="D3" s="59" t="s">
        <v>124</v>
      </c>
      <c r="E3" s="59" t="s">
        <v>125</v>
      </c>
      <c r="F3" s="155"/>
      <c r="G3" s="59" t="s">
        <v>126</v>
      </c>
      <c r="H3" s="59" t="s">
        <v>127</v>
      </c>
      <c r="I3" s="156"/>
      <c r="J3" s="91" t="s">
        <v>129</v>
      </c>
      <c r="K3" s="91" t="s">
        <v>130</v>
      </c>
      <c r="L3" s="160"/>
      <c r="M3" s="109" t="s">
        <v>129</v>
      </c>
      <c r="N3" s="109" t="s">
        <v>130</v>
      </c>
    </row>
    <row r="4" spans="1:14">
      <c r="A4" s="89">
        <v>1</v>
      </c>
      <c r="B4" s="352" t="s">
        <v>74</v>
      </c>
      <c r="C4" s="89">
        <f>SUM(D4:E4)</f>
        <v>211</v>
      </c>
      <c r="D4" s="89">
        <f>'ООО УК "ПОКиТС" '!A167</f>
        <v>161</v>
      </c>
      <c r="E4" s="89">
        <f>'ООО УК "ПОКиТС" '!A219</f>
        <v>50</v>
      </c>
      <c r="F4" s="89">
        <f>SUM(G4:H4)</f>
        <v>3308</v>
      </c>
      <c r="G4" s="89">
        <f>'ООО УК "ПОКиТС" '!F168</f>
        <v>2278</v>
      </c>
      <c r="H4" s="89">
        <f>'ООО УК "ПОКиТС" '!F220</f>
        <v>1030</v>
      </c>
      <c r="I4" s="45">
        <f>SUM(J4:K4)</f>
        <v>63326.770600000018</v>
      </c>
      <c r="J4" s="45">
        <f>'ООО УК "ПОКиТС" '!M168</f>
        <v>53996.207690000017</v>
      </c>
      <c r="K4" s="45">
        <f>'ООО УК "ПОКиТС" '!M220</f>
        <v>9330.5629099999969</v>
      </c>
      <c r="L4" s="130">
        <f>I4/F4</f>
        <v>19.143521946795651</v>
      </c>
      <c r="M4" s="130">
        <f>J4/G4</f>
        <v>23.70333963564531</v>
      </c>
      <c r="N4" s="130">
        <f>K4/H4</f>
        <v>9.0587989417475701</v>
      </c>
    </row>
    <row r="5" spans="1:14">
      <c r="A5" s="89">
        <f>A4+1</f>
        <v>2</v>
      </c>
      <c r="B5" s="353" t="s">
        <v>108</v>
      </c>
      <c r="C5" s="89">
        <f t="shared" ref="C5:C12" si="0">SUM(D5:E5)</f>
        <v>38</v>
      </c>
      <c r="D5" s="128">
        <f>'ООО УК "Нарьян-Марстрой"'!A39</f>
        <v>31</v>
      </c>
      <c r="E5" s="89">
        <f>'ООО УК "Нарьян-Марстрой"'!A48</f>
        <v>7</v>
      </c>
      <c r="F5" s="90">
        <f t="shared" ref="F5:F14" si="1">SUM(G5:H5)</f>
        <v>2263</v>
      </c>
      <c r="G5" s="70">
        <f>'ООО УК "Нарьян-Марстрой"'!F40</f>
        <v>1735</v>
      </c>
      <c r="H5" s="70">
        <f>'ООО УК "Нарьян-Марстрой"'!F49</f>
        <v>528</v>
      </c>
      <c r="I5" s="45">
        <f t="shared" ref="I5:I12" si="2">SUM(J5:K5)</f>
        <v>32562.58</v>
      </c>
      <c r="J5" s="45">
        <f>'ООО УК "Нарьян-Марстрой"'!M40</f>
        <v>28388.890000000003</v>
      </c>
      <c r="K5" s="45">
        <f>'ООО УК "Нарьян-Марстрой"'!M49</f>
        <v>4173.6899999999996</v>
      </c>
      <c r="L5" s="130">
        <f t="shared" ref="L5:M7" si="3">I5/F5</f>
        <v>14.389120636323465</v>
      </c>
      <c r="M5" s="130">
        <f t="shared" si="3"/>
        <v>16.362472622478389</v>
      </c>
      <c r="N5" s="130">
        <f t="shared" ref="N5" si="4">K5/H5</f>
        <v>7.9047159090909087</v>
      </c>
    </row>
    <row r="6" spans="1:14">
      <c r="A6" s="89">
        <f>A5+1</f>
        <v>3</v>
      </c>
      <c r="B6" s="134" t="s">
        <v>13</v>
      </c>
      <c r="C6" s="89">
        <f t="shared" si="0"/>
        <v>37</v>
      </c>
      <c r="D6" s="89">
        <f>'ООО "Базис"'!A15</f>
        <v>9</v>
      </c>
      <c r="E6" s="89">
        <f>'ООО "Базис"'!A45</f>
        <v>28</v>
      </c>
      <c r="F6" s="71">
        <f>SUM(G6:H6)</f>
        <v>1487</v>
      </c>
      <c r="G6" s="71">
        <f>'ООО "Базис"'!F16</f>
        <v>1053</v>
      </c>
      <c r="H6" s="71">
        <f>'ООО "Базис"'!F46</f>
        <v>434</v>
      </c>
      <c r="I6" s="45">
        <f t="shared" si="2"/>
        <v>29882.400000000001</v>
      </c>
      <c r="J6" s="45">
        <f>'ООО "Базис"'!M16</f>
        <v>24216.11</v>
      </c>
      <c r="K6" s="45">
        <f>'ООО "Базис"'!M46</f>
        <v>5666.2900000000009</v>
      </c>
      <c r="L6" s="130">
        <f>I6/F6</f>
        <v>20.095763281775387</v>
      </c>
      <c r="M6" s="130">
        <f>J6/G6</f>
        <v>22.997255460588793</v>
      </c>
      <c r="N6" s="130">
        <f>K6/H6</f>
        <v>13.055967741935486</v>
      </c>
    </row>
    <row r="7" spans="1:14">
      <c r="A7" s="89">
        <f t="shared" ref="A7:A12" si="5">A6+1</f>
        <v>4</v>
      </c>
      <c r="B7" s="354" t="s">
        <v>57</v>
      </c>
      <c r="C7" s="89">
        <f t="shared" si="0"/>
        <v>5</v>
      </c>
      <c r="D7" s="89">
        <f>'ООО "Наш дом"'!A9</f>
        <v>4</v>
      </c>
      <c r="E7" s="90">
        <f>'ООО "Наш дом"'!A12</f>
        <v>1</v>
      </c>
      <c r="F7" s="90">
        <f t="shared" si="1"/>
        <v>466</v>
      </c>
      <c r="G7" s="71">
        <f>'ООО "Наш дом"'!F10</f>
        <v>424</v>
      </c>
      <c r="H7" s="71">
        <f>'ООО "Наш дом"'!F13</f>
        <v>42</v>
      </c>
      <c r="I7" s="45">
        <f t="shared" si="2"/>
        <v>19075.060000000001</v>
      </c>
      <c r="J7" s="45">
        <f>'ООО "Наш дом"'!M10</f>
        <v>17477.850000000002</v>
      </c>
      <c r="K7" s="45">
        <f>'ООО "Наш дом"'!M13</f>
        <v>1597.21</v>
      </c>
      <c r="L7" s="130">
        <f t="shared" si="3"/>
        <v>40.933605150214596</v>
      </c>
      <c r="M7" s="130">
        <f t="shared" si="3"/>
        <v>41.221344339622647</v>
      </c>
      <c r="N7" s="130">
        <f>K7/H7</f>
        <v>38.028809523809528</v>
      </c>
    </row>
    <row r="8" spans="1:14">
      <c r="A8" s="89">
        <f t="shared" si="5"/>
        <v>5</v>
      </c>
      <c r="B8" s="134" t="s">
        <v>39</v>
      </c>
      <c r="C8" s="89">
        <f t="shared" si="0"/>
        <v>25</v>
      </c>
      <c r="D8" s="89">
        <f>'ООО "Ненецкая УК"'!A16</f>
        <v>10</v>
      </c>
      <c r="E8" s="89">
        <f>'ООО "Ненецкая УК"'!A33</f>
        <v>15</v>
      </c>
      <c r="F8" s="90">
        <f t="shared" si="1"/>
        <v>970</v>
      </c>
      <c r="G8" s="89">
        <f>'ООО "Ненецкая УК"'!F17</f>
        <v>748</v>
      </c>
      <c r="H8" s="89">
        <f>'ООО "Ненецкая УК"'!F36</f>
        <v>222</v>
      </c>
      <c r="I8" s="45">
        <f t="shared" si="2"/>
        <v>12083.62</v>
      </c>
      <c r="J8" s="45">
        <f>'ООО "Ненецкая УК"'!M17</f>
        <v>10409.570000000002</v>
      </c>
      <c r="K8" s="45">
        <f>'ООО "Ненецкая УК"'!M36</f>
        <v>1674.05</v>
      </c>
      <c r="L8" s="130">
        <f t="shared" ref="L8" si="6">I8/F8</f>
        <v>12.457340206185568</v>
      </c>
      <c r="M8" s="130">
        <f t="shared" ref="M8:M14" si="7">J8/G8</f>
        <v>13.916537433155082</v>
      </c>
      <c r="N8" s="130">
        <f>K8/H8</f>
        <v>7.5407657657657658</v>
      </c>
    </row>
    <row r="9" spans="1:14">
      <c r="A9" s="89">
        <f t="shared" si="5"/>
        <v>6</v>
      </c>
      <c r="B9" s="354" t="s">
        <v>49</v>
      </c>
      <c r="C9" s="89">
        <f t="shared" si="0"/>
        <v>15</v>
      </c>
      <c r="D9" s="89">
        <f>'ООО "Коми-Сервис"'!A17</f>
        <v>11</v>
      </c>
      <c r="E9" s="89">
        <f>'ООО "Коми-Сервис"'!A23</f>
        <v>4</v>
      </c>
      <c r="F9" s="90">
        <f>SUM(G9:H9)</f>
        <v>910</v>
      </c>
      <c r="G9" s="89">
        <f>'ООО "Коми-Сервис"'!F18</f>
        <v>513</v>
      </c>
      <c r="H9" s="89">
        <f>'ООО "Коми-Сервис"'!F24</f>
        <v>397</v>
      </c>
      <c r="I9" s="45">
        <f t="shared" si="2"/>
        <v>7528.07</v>
      </c>
      <c r="J9" s="45">
        <f>'ООО "Коми-Сервис"'!M18</f>
        <v>6575</v>
      </c>
      <c r="K9" s="45">
        <f>'ООО "Коми-Сервис"'!M24</f>
        <v>953.06999999999994</v>
      </c>
      <c r="L9" s="130">
        <f>I9/F9</f>
        <v>8.2726043956043949</v>
      </c>
      <c r="M9" s="130">
        <f>J9/G9</f>
        <v>12.816764132553606</v>
      </c>
      <c r="N9" s="130">
        <f>K9/H9</f>
        <v>2.4006801007556673</v>
      </c>
    </row>
    <row r="10" spans="1:14">
      <c r="A10" s="89">
        <f t="shared" si="5"/>
        <v>7</v>
      </c>
      <c r="B10" s="73" t="s">
        <v>100</v>
      </c>
      <c r="C10" s="89">
        <f t="shared" si="0"/>
        <v>21</v>
      </c>
      <c r="D10" s="89">
        <f>'ООО "Аврора"'!A24</f>
        <v>18</v>
      </c>
      <c r="E10" s="89">
        <f>'ООО "Аврора"'!A29</f>
        <v>3</v>
      </c>
      <c r="F10" s="90">
        <f>SUM(G10:H10)</f>
        <v>484</v>
      </c>
      <c r="G10" s="89">
        <f>'ООО "Аврора"'!F25</f>
        <v>448</v>
      </c>
      <c r="H10" s="89">
        <f>'ООО "Аврора"'!F30</f>
        <v>36</v>
      </c>
      <c r="I10" s="45">
        <f t="shared" si="2"/>
        <v>8429.2000000000007</v>
      </c>
      <c r="J10" s="45">
        <f>'ООО "Аврора"'!M25</f>
        <v>8297.6</v>
      </c>
      <c r="K10" s="45">
        <f>'ООО "Аврора"'!M30</f>
        <v>131.6</v>
      </c>
      <c r="L10" s="130">
        <f>I10/F10</f>
        <v>17.415702479338844</v>
      </c>
      <c r="M10" s="130">
        <f t="shared" si="7"/>
        <v>18.521428571428572</v>
      </c>
      <c r="N10" s="130">
        <f>K10/H10</f>
        <v>3.6555555555555554</v>
      </c>
    </row>
    <row r="11" spans="1:14">
      <c r="A11" s="89">
        <f t="shared" si="5"/>
        <v>8</v>
      </c>
      <c r="B11" s="73" t="s">
        <v>59</v>
      </c>
      <c r="C11" s="89">
        <f t="shared" si="0"/>
        <v>8</v>
      </c>
      <c r="D11" s="89">
        <f>'ООО УК "Уютный дом"'!A13</f>
        <v>8</v>
      </c>
      <c r="E11" s="90" t="s">
        <v>131</v>
      </c>
      <c r="F11" s="90">
        <f t="shared" si="1"/>
        <v>549</v>
      </c>
      <c r="G11" s="89">
        <f>'ООО УК "Уютный дом"'!F14</f>
        <v>549</v>
      </c>
      <c r="H11" s="90" t="s">
        <v>131</v>
      </c>
      <c r="I11" s="45">
        <f t="shared" si="2"/>
        <v>3999.7200000000007</v>
      </c>
      <c r="J11" s="45">
        <f>'ООО УК "Уютный дом"'!M14</f>
        <v>3999.7200000000007</v>
      </c>
      <c r="K11" s="45" t="s">
        <v>131</v>
      </c>
      <c r="L11" s="130">
        <f>I11/F11</f>
        <v>7.2854644808743183</v>
      </c>
      <c r="M11" s="130">
        <f>J11/G11</f>
        <v>7.2854644808743183</v>
      </c>
      <c r="N11" s="130" t="s">
        <v>131</v>
      </c>
    </row>
    <row r="12" spans="1:14">
      <c r="A12" s="89">
        <f t="shared" si="5"/>
        <v>9</v>
      </c>
      <c r="B12" s="72" t="s">
        <v>109</v>
      </c>
      <c r="C12" s="89">
        <f t="shared" si="0"/>
        <v>1</v>
      </c>
      <c r="D12" s="89">
        <f>'ТСЖ "Дворянское гнездо"'!A8</f>
        <v>1</v>
      </c>
      <c r="E12" s="90" t="s">
        <v>131</v>
      </c>
      <c r="F12" s="90">
        <f t="shared" si="1"/>
        <v>75</v>
      </c>
      <c r="G12" s="89">
        <f>'ТСЖ "Дворянское гнездо"'!F9</f>
        <v>75</v>
      </c>
      <c r="H12" s="90" t="s">
        <v>131</v>
      </c>
      <c r="I12" s="45">
        <f t="shared" si="2"/>
        <v>1153.5</v>
      </c>
      <c r="J12" s="45">
        <f>'ТСЖ "Дворянское гнездо"'!M9</f>
        <v>1153.5</v>
      </c>
      <c r="K12" s="45" t="s">
        <v>131</v>
      </c>
      <c r="L12" s="130">
        <f t="shared" ref="L12:L14" si="8">I12/F12</f>
        <v>15.38</v>
      </c>
      <c r="M12" s="130">
        <f>J12/G12</f>
        <v>15.38</v>
      </c>
      <c r="N12" s="130" t="s">
        <v>131</v>
      </c>
    </row>
    <row r="13" spans="1:14">
      <c r="A13" s="89">
        <v>10</v>
      </c>
      <c r="B13" s="355" t="s">
        <v>110</v>
      </c>
      <c r="C13" s="90">
        <f>SUM(D13:E13)</f>
        <v>68</v>
      </c>
      <c r="D13" s="91">
        <f>'ООО "Содружество"'!A73</f>
        <v>68</v>
      </c>
      <c r="E13" s="144" t="s">
        <v>131</v>
      </c>
      <c r="F13" s="90">
        <f t="shared" si="1"/>
        <v>907</v>
      </c>
      <c r="G13" s="95">
        <f>'ООО "Содружество"'!F74</f>
        <v>907</v>
      </c>
      <c r="H13" s="95" t="s">
        <v>131</v>
      </c>
      <c r="I13" s="45">
        <f>SUM(J13:K13)</f>
        <v>8267.2899999999972</v>
      </c>
      <c r="J13" s="131">
        <f>'ООО "Содружество"'!M74</f>
        <v>8267.2899999999972</v>
      </c>
      <c r="K13" s="131" t="s">
        <v>131</v>
      </c>
      <c r="L13" s="132">
        <f t="shared" si="8"/>
        <v>9.1149834619625114</v>
      </c>
      <c r="M13" s="130">
        <f>J13/G13</f>
        <v>9.1149834619625114</v>
      </c>
      <c r="N13" s="130" t="s">
        <v>131</v>
      </c>
    </row>
    <row r="14" spans="1:14">
      <c r="A14" s="141">
        <v>11</v>
      </c>
      <c r="B14" s="73" t="s">
        <v>135</v>
      </c>
      <c r="C14" s="141">
        <f>SUM(D14:E14)</f>
        <v>1</v>
      </c>
      <c r="D14" s="139">
        <f>'ООО УК "МКД-Сервис"'!A8</f>
        <v>1</v>
      </c>
      <c r="E14" s="139" t="s">
        <v>131</v>
      </c>
      <c r="F14" s="141">
        <f t="shared" si="1"/>
        <v>12</v>
      </c>
      <c r="G14" s="95">
        <f>'ООО УК "МКД-Сервис"'!F9</f>
        <v>12</v>
      </c>
      <c r="H14" s="95" t="s">
        <v>131</v>
      </c>
      <c r="I14" s="45">
        <f>SUM(J14:K14)</f>
        <v>31.47</v>
      </c>
      <c r="J14" s="131">
        <f>'ООО УК "МКД-Сервис"'!G9</f>
        <v>31.47</v>
      </c>
      <c r="K14" s="131" t="s">
        <v>131</v>
      </c>
      <c r="L14" s="132">
        <f t="shared" si="8"/>
        <v>2.6225000000000001</v>
      </c>
      <c r="M14" s="130">
        <f t="shared" si="7"/>
        <v>2.6225000000000001</v>
      </c>
      <c r="N14" s="130" t="s">
        <v>131</v>
      </c>
    </row>
    <row r="15" spans="1:14">
      <c r="A15" s="153" t="s">
        <v>5</v>
      </c>
      <c r="B15" s="153"/>
      <c r="C15" s="44">
        <f>SUM(C4:C14)</f>
        <v>430</v>
      </c>
      <c r="D15" s="44">
        <f>SUM(D4:D14)</f>
        <v>322</v>
      </c>
      <c r="E15" s="44">
        <f>SUM(E4:E14)</f>
        <v>108</v>
      </c>
      <c r="F15" s="44">
        <f t="shared" ref="F15" si="9">SUM(F4:F14)</f>
        <v>11431</v>
      </c>
      <c r="G15" s="44">
        <f>SUM(G4:G14)</f>
        <v>8742</v>
      </c>
      <c r="H15" s="44">
        <f>SUM(H4:H14)</f>
        <v>2689</v>
      </c>
      <c r="I15" s="45">
        <f>SUM(I4:I14)</f>
        <v>186339.68060000005</v>
      </c>
      <c r="J15" s="45">
        <f>SUM(J4:J14)</f>
        <v>162813.20769000004</v>
      </c>
      <c r="K15" s="45">
        <f>SUM(K4:K14)</f>
        <v>23526.472909999993</v>
      </c>
      <c r="L15" s="44" t="s">
        <v>111</v>
      </c>
      <c r="M15" s="130">
        <f>J15/G15</f>
        <v>18.624251623198358</v>
      </c>
      <c r="N15" s="44" t="s">
        <v>111</v>
      </c>
    </row>
    <row r="17" spans="2:9">
      <c r="B17" s="94"/>
    </row>
    <row r="20" spans="2:9">
      <c r="I20" s="10"/>
    </row>
  </sheetData>
  <mergeCells count="12">
    <mergeCell ref="M2:N2"/>
    <mergeCell ref="A1:L1"/>
    <mergeCell ref="A15:B15"/>
    <mergeCell ref="A2:A3"/>
    <mergeCell ref="B2:B3"/>
    <mergeCell ref="C2:C3"/>
    <mergeCell ref="D2:E2"/>
    <mergeCell ref="G2:H2"/>
    <mergeCell ref="F2:F3"/>
    <mergeCell ref="I2:I3"/>
    <mergeCell ref="J2:K2"/>
    <mergeCell ref="L2:L3"/>
  </mergeCells>
  <pageMargins left="0.17" right="0.17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3"/>
  <sheetViews>
    <sheetView view="pageBreakPreview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R22" sqref="R22"/>
    </sheetView>
  </sheetViews>
  <sheetFormatPr defaultRowHeight="15"/>
  <cols>
    <col min="1" max="1" width="5" customWidth="1"/>
    <col min="2" max="2" width="15.7109375" customWidth="1"/>
    <col min="3" max="3" width="16.85546875" customWidth="1"/>
    <col min="4" max="4" width="6.85546875" customWidth="1"/>
    <col min="6" max="6" width="10.5703125" customWidth="1"/>
    <col min="7" max="16" width="12.85546875" customWidth="1"/>
  </cols>
  <sheetData>
    <row r="1" spans="1:16">
      <c r="C1" s="173" t="s">
        <v>10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 ht="30.75" customHeight="1">
      <c r="C2" s="174"/>
      <c r="D2" s="174"/>
      <c r="E2" s="174"/>
      <c r="F2" s="174"/>
    </row>
    <row r="3" spans="1:16" ht="15" customHeight="1">
      <c r="G3" s="3"/>
      <c r="H3" s="3"/>
      <c r="I3" s="3"/>
      <c r="J3" s="3"/>
      <c r="K3" s="3"/>
      <c r="L3" s="3"/>
      <c r="M3" s="3"/>
      <c r="N3" s="3"/>
      <c r="O3" s="3"/>
      <c r="P3" s="3" t="s">
        <v>9</v>
      </c>
    </row>
    <row r="4" spans="1:16" ht="29.25" customHeight="1">
      <c r="A4" s="166" t="s">
        <v>0</v>
      </c>
      <c r="B4" s="166" t="s">
        <v>12</v>
      </c>
      <c r="C4" s="166" t="s">
        <v>1</v>
      </c>
      <c r="D4" s="166"/>
      <c r="E4" s="166"/>
      <c r="F4" s="184" t="s">
        <v>76</v>
      </c>
      <c r="G4" s="168" t="s">
        <v>132</v>
      </c>
      <c r="H4" s="168"/>
      <c r="I4" s="168"/>
      <c r="J4" s="168" t="s">
        <v>133</v>
      </c>
      <c r="K4" s="168"/>
      <c r="L4" s="168"/>
      <c r="M4" s="168" t="s">
        <v>134</v>
      </c>
      <c r="N4" s="168"/>
      <c r="O4" s="168"/>
      <c r="P4" s="161" t="s">
        <v>104</v>
      </c>
    </row>
    <row r="5" spans="1:16" ht="13.5" customHeight="1">
      <c r="A5" s="166"/>
      <c r="B5" s="166"/>
      <c r="C5" s="166" t="s">
        <v>2</v>
      </c>
      <c r="D5" s="166" t="s">
        <v>3</v>
      </c>
      <c r="E5" s="166" t="s">
        <v>4</v>
      </c>
      <c r="F5" s="185"/>
      <c r="G5" s="169" t="s">
        <v>5</v>
      </c>
      <c r="H5" s="171" t="s">
        <v>11</v>
      </c>
      <c r="I5" s="172"/>
      <c r="J5" s="169" t="s">
        <v>5</v>
      </c>
      <c r="K5" s="171" t="s">
        <v>11</v>
      </c>
      <c r="L5" s="172"/>
      <c r="M5" s="169" t="s">
        <v>5</v>
      </c>
      <c r="N5" s="171" t="s">
        <v>11</v>
      </c>
      <c r="O5" s="172"/>
      <c r="P5" s="162"/>
    </row>
    <row r="6" spans="1:16" ht="38.25">
      <c r="A6" s="166"/>
      <c r="B6" s="166"/>
      <c r="C6" s="166"/>
      <c r="D6" s="166"/>
      <c r="E6" s="166"/>
      <c r="F6" s="186"/>
      <c r="G6" s="169"/>
      <c r="H6" s="14" t="s">
        <v>6</v>
      </c>
      <c r="I6" s="14" t="s">
        <v>7</v>
      </c>
      <c r="J6" s="169"/>
      <c r="K6" s="14" t="s">
        <v>6</v>
      </c>
      <c r="L6" s="14" t="s">
        <v>7</v>
      </c>
      <c r="M6" s="169"/>
      <c r="N6" s="14" t="s">
        <v>6</v>
      </c>
      <c r="O6" s="14" t="s">
        <v>7</v>
      </c>
      <c r="P6" s="163"/>
    </row>
    <row r="7" spans="1:16">
      <c r="A7" s="54">
        <v>1</v>
      </c>
      <c r="B7" s="1" t="s">
        <v>100</v>
      </c>
      <c r="C7" s="252" t="s">
        <v>79</v>
      </c>
      <c r="D7" s="226">
        <v>13</v>
      </c>
      <c r="E7" s="226"/>
      <c r="F7" s="329">
        <v>8</v>
      </c>
      <c r="G7" s="111">
        <v>561.20000000000005</v>
      </c>
      <c r="H7" s="111">
        <v>140.5</v>
      </c>
      <c r="I7" s="111">
        <v>420.7</v>
      </c>
      <c r="J7" s="148">
        <v>567.6</v>
      </c>
      <c r="K7" s="148">
        <v>146.9</v>
      </c>
      <c r="L7" s="148">
        <v>420.7</v>
      </c>
      <c r="M7" s="148">
        <v>549.9</v>
      </c>
      <c r="N7" s="148">
        <v>138.6</v>
      </c>
      <c r="O7" s="148">
        <v>411.3</v>
      </c>
      <c r="P7" s="330">
        <f>M7/F7</f>
        <v>68.737499999999997</v>
      </c>
    </row>
    <row r="8" spans="1:16">
      <c r="A8" s="54">
        <f>A7+1</f>
        <v>2</v>
      </c>
      <c r="B8" s="1" t="s">
        <v>100</v>
      </c>
      <c r="C8" s="1" t="s">
        <v>79</v>
      </c>
      <c r="D8" s="54">
        <v>16</v>
      </c>
      <c r="E8" s="54"/>
      <c r="F8" s="82">
        <v>27</v>
      </c>
      <c r="G8" s="111">
        <v>909.7</v>
      </c>
      <c r="H8" s="111">
        <v>367.2</v>
      </c>
      <c r="I8" s="111">
        <v>542.5</v>
      </c>
      <c r="J8" s="148">
        <v>978.5</v>
      </c>
      <c r="K8" s="148">
        <v>448.4</v>
      </c>
      <c r="L8" s="148">
        <v>530.1</v>
      </c>
      <c r="M8" s="148">
        <v>1020.4</v>
      </c>
      <c r="N8" s="148">
        <v>439.3</v>
      </c>
      <c r="O8" s="148">
        <v>581.1</v>
      </c>
      <c r="P8" s="38">
        <f>M8/F8</f>
        <v>37.792592592592591</v>
      </c>
    </row>
    <row r="9" spans="1:16">
      <c r="A9" s="128">
        <f t="shared" ref="A9:A24" si="0">A8+1</f>
        <v>3</v>
      </c>
      <c r="B9" s="1" t="s">
        <v>100</v>
      </c>
      <c r="C9" s="1" t="s">
        <v>79</v>
      </c>
      <c r="D9" s="54">
        <v>11</v>
      </c>
      <c r="E9" s="54"/>
      <c r="F9" s="82">
        <v>27</v>
      </c>
      <c r="G9" s="111">
        <v>947.6</v>
      </c>
      <c r="H9" s="111">
        <v>316.3</v>
      </c>
      <c r="I9" s="111">
        <v>631.29999999999995</v>
      </c>
      <c r="J9" s="148">
        <v>985.9</v>
      </c>
      <c r="K9" s="148">
        <v>367.8</v>
      </c>
      <c r="L9" s="148">
        <v>618.1</v>
      </c>
      <c r="M9" s="148">
        <v>911.8</v>
      </c>
      <c r="N9" s="148">
        <v>365.9</v>
      </c>
      <c r="O9" s="148">
        <v>545.9</v>
      </c>
      <c r="P9" s="38">
        <f>M9/F9</f>
        <v>33.770370370370365</v>
      </c>
    </row>
    <row r="10" spans="1:16">
      <c r="A10" s="128">
        <f t="shared" si="0"/>
        <v>4</v>
      </c>
      <c r="B10" s="1" t="s">
        <v>100</v>
      </c>
      <c r="C10" s="1" t="s">
        <v>94</v>
      </c>
      <c r="D10" s="54">
        <v>33</v>
      </c>
      <c r="E10" s="54"/>
      <c r="F10" s="82">
        <v>16</v>
      </c>
      <c r="G10" s="111">
        <v>366</v>
      </c>
      <c r="H10" s="111">
        <v>109.1</v>
      </c>
      <c r="I10" s="111">
        <v>256.89999999999998</v>
      </c>
      <c r="J10" s="148">
        <v>373.4</v>
      </c>
      <c r="K10" s="148">
        <v>100.5</v>
      </c>
      <c r="L10" s="148">
        <v>272.89999999999998</v>
      </c>
      <c r="M10" s="148">
        <v>414.5</v>
      </c>
      <c r="N10" s="148">
        <v>109.8</v>
      </c>
      <c r="O10" s="148">
        <v>304.7</v>
      </c>
      <c r="P10" s="38">
        <f>M10/F10</f>
        <v>25.90625</v>
      </c>
    </row>
    <row r="11" spans="1:16">
      <c r="A11" s="128">
        <f t="shared" si="0"/>
        <v>5</v>
      </c>
      <c r="B11" s="1" t="s">
        <v>100</v>
      </c>
      <c r="C11" s="1" t="s">
        <v>89</v>
      </c>
      <c r="D11" s="54">
        <v>6</v>
      </c>
      <c r="E11" s="54"/>
      <c r="F11" s="82">
        <v>8</v>
      </c>
      <c r="G11" s="111">
        <v>153.4</v>
      </c>
      <c r="H11" s="111">
        <v>125.3</v>
      </c>
      <c r="I11" s="111">
        <v>28.1</v>
      </c>
      <c r="J11" s="148">
        <v>161.6</v>
      </c>
      <c r="K11" s="148">
        <v>131.69999999999999</v>
      </c>
      <c r="L11" s="148">
        <v>29.9</v>
      </c>
      <c r="M11" s="148">
        <v>174.1</v>
      </c>
      <c r="N11" s="148">
        <v>145.80000000000001</v>
      </c>
      <c r="O11" s="148">
        <v>28.3</v>
      </c>
      <c r="P11" s="38">
        <f>M11/F11</f>
        <v>21.762499999999999</v>
      </c>
    </row>
    <row r="12" spans="1:16">
      <c r="A12" s="128">
        <f t="shared" si="0"/>
        <v>6</v>
      </c>
      <c r="B12" s="1" t="s">
        <v>100</v>
      </c>
      <c r="C12" s="1" t="s">
        <v>47</v>
      </c>
      <c r="D12" s="54">
        <v>13</v>
      </c>
      <c r="E12" s="54"/>
      <c r="F12" s="82">
        <v>23</v>
      </c>
      <c r="G12" s="111">
        <v>486.4</v>
      </c>
      <c r="H12" s="111">
        <v>141.19999999999999</v>
      </c>
      <c r="I12" s="111">
        <v>345.2</v>
      </c>
      <c r="J12" s="148">
        <v>507.4</v>
      </c>
      <c r="K12" s="148">
        <v>164.3</v>
      </c>
      <c r="L12" s="148">
        <v>343.1</v>
      </c>
      <c r="M12" s="148">
        <v>498.5</v>
      </c>
      <c r="N12" s="148">
        <v>186</v>
      </c>
      <c r="O12" s="148">
        <v>312.5</v>
      </c>
      <c r="P12" s="38">
        <f>M12/F12</f>
        <v>21.673913043478262</v>
      </c>
    </row>
    <row r="13" spans="1:16">
      <c r="A13" s="128">
        <f t="shared" si="0"/>
        <v>7</v>
      </c>
      <c r="B13" s="1" t="s">
        <v>100</v>
      </c>
      <c r="C13" s="252" t="s">
        <v>21</v>
      </c>
      <c r="D13" s="226">
        <v>22</v>
      </c>
      <c r="E13" s="226"/>
      <c r="F13" s="329">
        <v>80</v>
      </c>
      <c r="G13" s="111">
        <v>1876.3</v>
      </c>
      <c r="H13" s="111">
        <v>1111.3</v>
      </c>
      <c r="I13" s="111">
        <v>765</v>
      </c>
      <c r="J13" s="148">
        <v>1681</v>
      </c>
      <c r="K13" s="148">
        <v>1029.3</v>
      </c>
      <c r="L13" s="148">
        <v>651.70000000000005</v>
      </c>
      <c r="M13" s="226">
        <v>1705.9</v>
      </c>
      <c r="N13" s="226">
        <v>1079.2</v>
      </c>
      <c r="O13" s="226">
        <v>626.70000000000005</v>
      </c>
      <c r="P13" s="38">
        <f>M13/F13</f>
        <v>21.32375</v>
      </c>
    </row>
    <row r="14" spans="1:16">
      <c r="A14" s="128">
        <f t="shared" si="0"/>
        <v>8</v>
      </c>
      <c r="B14" s="1" t="s">
        <v>100</v>
      </c>
      <c r="C14" s="1" t="s">
        <v>89</v>
      </c>
      <c r="D14" s="126">
        <v>10</v>
      </c>
      <c r="E14" s="126"/>
      <c r="F14" s="82">
        <v>12</v>
      </c>
      <c r="G14" s="111">
        <v>251.5</v>
      </c>
      <c r="H14" s="111">
        <v>177.1</v>
      </c>
      <c r="I14" s="111">
        <v>74.400000000000006</v>
      </c>
      <c r="J14" s="148">
        <v>264.8</v>
      </c>
      <c r="K14" s="148">
        <v>186.7</v>
      </c>
      <c r="L14" s="148">
        <v>78.099999999999994</v>
      </c>
      <c r="M14" s="148">
        <v>237.6</v>
      </c>
      <c r="N14" s="148">
        <v>175.2</v>
      </c>
      <c r="O14" s="148">
        <v>62.4</v>
      </c>
      <c r="P14" s="38">
        <f>M14/F14</f>
        <v>19.8</v>
      </c>
    </row>
    <row r="15" spans="1:16">
      <c r="A15" s="128">
        <f t="shared" si="0"/>
        <v>9</v>
      </c>
      <c r="B15" s="1" t="s">
        <v>100</v>
      </c>
      <c r="C15" s="1" t="s">
        <v>47</v>
      </c>
      <c r="D15" s="54">
        <v>2</v>
      </c>
      <c r="E15" s="54"/>
      <c r="F15" s="82">
        <v>12</v>
      </c>
      <c r="G15" s="111">
        <v>190.9</v>
      </c>
      <c r="H15" s="111">
        <v>64.599999999999994</v>
      </c>
      <c r="I15" s="111">
        <v>126.3</v>
      </c>
      <c r="J15" s="148">
        <v>202.4</v>
      </c>
      <c r="K15" s="148">
        <v>71.8</v>
      </c>
      <c r="L15" s="148">
        <v>130.6</v>
      </c>
      <c r="M15" s="148">
        <v>224.8</v>
      </c>
      <c r="N15" s="148">
        <v>79.099999999999994</v>
      </c>
      <c r="O15" s="148">
        <v>145.69999999999999</v>
      </c>
      <c r="P15" s="38">
        <f>M15/F15</f>
        <v>18.733333333333334</v>
      </c>
    </row>
    <row r="16" spans="1:16">
      <c r="A16" s="128">
        <f t="shared" si="0"/>
        <v>10</v>
      </c>
      <c r="B16" s="1" t="s">
        <v>100</v>
      </c>
      <c r="C16" s="1" t="s">
        <v>101</v>
      </c>
      <c r="D16" s="54">
        <v>9</v>
      </c>
      <c r="E16" s="54"/>
      <c r="F16" s="82">
        <v>52</v>
      </c>
      <c r="G16" s="111">
        <v>1002.4</v>
      </c>
      <c r="H16" s="111">
        <v>429.6</v>
      </c>
      <c r="I16" s="111">
        <v>572.79999999999995</v>
      </c>
      <c r="J16" s="148">
        <v>963.8</v>
      </c>
      <c r="K16" s="148">
        <v>399.3</v>
      </c>
      <c r="L16" s="148">
        <v>564.5</v>
      </c>
      <c r="M16" s="148">
        <v>926</v>
      </c>
      <c r="N16" s="148">
        <v>459.4</v>
      </c>
      <c r="O16" s="148">
        <v>466.6</v>
      </c>
      <c r="P16" s="38">
        <f>M16/F16</f>
        <v>17.807692307692307</v>
      </c>
    </row>
    <row r="17" spans="1:16">
      <c r="A17" s="128">
        <f t="shared" si="0"/>
        <v>11</v>
      </c>
      <c r="B17" s="1" t="s">
        <v>100</v>
      </c>
      <c r="C17" s="1" t="s">
        <v>86</v>
      </c>
      <c r="D17" s="54">
        <v>43</v>
      </c>
      <c r="E17" s="54"/>
      <c r="F17" s="82">
        <v>35</v>
      </c>
      <c r="G17" s="111">
        <v>484.1</v>
      </c>
      <c r="H17" s="111">
        <v>190.2</v>
      </c>
      <c r="I17" s="111">
        <v>293.89999999999998</v>
      </c>
      <c r="J17" s="148">
        <v>579.5</v>
      </c>
      <c r="K17" s="148">
        <v>191.3</v>
      </c>
      <c r="L17" s="148">
        <v>388.2</v>
      </c>
      <c r="M17" s="148">
        <v>593.6</v>
      </c>
      <c r="N17" s="148">
        <v>201.7</v>
      </c>
      <c r="O17" s="148">
        <v>391.9</v>
      </c>
      <c r="P17" s="38">
        <f>M17/F17</f>
        <v>16.96</v>
      </c>
    </row>
    <row r="18" spans="1:16">
      <c r="A18" s="128">
        <f t="shared" si="0"/>
        <v>12</v>
      </c>
      <c r="B18" s="1" t="s">
        <v>100</v>
      </c>
      <c r="C18" s="1" t="s">
        <v>86</v>
      </c>
      <c r="D18" s="54">
        <v>37</v>
      </c>
      <c r="E18" s="54" t="s">
        <v>17</v>
      </c>
      <c r="F18" s="82">
        <v>21</v>
      </c>
      <c r="G18" s="111">
        <v>274.60000000000002</v>
      </c>
      <c r="H18" s="111">
        <v>93.3</v>
      </c>
      <c r="I18" s="111">
        <v>181.3</v>
      </c>
      <c r="J18" s="148">
        <v>300.10000000000002</v>
      </c>
      <c r="K18" s="148">
        <v>106.8</v>
      </c>
      <c r="L18" s="148">
        <v>193.3</v>
      </c>
      <c r="M18" s="148">
        <v>268.5</v>
      </c>
      <c r="N18" s="148">
        <v>83.5</v>
      </c>
      <c r="O18" s="148">
        <v>185</v>
      </c>
      <c r="P18" s="38">
        <f>M18/F18</f>
        <v>12.785714285714286</v>
      </c>
    </row>
    <row r="19" spans="1:16">
      <c r="A19" s="128">
        <f t="shared" si="0"/>
        <v>13</v>
      </c>
      <c r="B19" s="1" t="s">
        <v>100</v>
      </c>
      <c r="C19" s="1" t="s">
        <v>90</v>
      </c>
      <c r="D19" s="54">
        <v>1</v>
      </c>
      <c r="E19" s="54"/>
      <c r="F19" s="82">
        <v>12</v>
      </c>
      <c r="G19" s="111">
        <v>100.6</v>
      </c>
      <c r="H19" s="111">
        <v>72.7</v>
      </c>
      <c r="I19" s="111">
        <v>27.9</v>
      </c>
      <c r="J19" s="148">
        <v>107.8</v>
      </c>
      <c r="K19" s="148">
        <v>77.5</v>
      </c>
      <c r="L19" s="148">
        <v>30.3</v>
      </c>
      <c r="M19" s="148">
        <v>126.1</v>
      </c>
      <c r="N19" s="148">
        <v>87.3</v>
      </c>
      <c r="O19" s="148">
        <v>38.799999999999997</v>
      </c>
      <c r="P19" s="38">
        <f>M19/F19</f>
        <v>10.508333333333333</v>
      </c>
    </row>
    <row r="20" spans="1:16">
      <c r="A20" s="128">
        <f t="shared" si="0"/>
        <v>14</v>
      </c>
      <c r="B20" s="1" t="s">
        <v>100</v>
      </c>
      <c r="C20" s="1" t="s">
        <v>102</v>
      </c>
      <c r="D20" s="54">
        <v>48</v>
      </c>
      <c r="E20" s="54" t="s">
        <v>18</v>
      </c>
      <c r="F20" s="82">
        <v>12</v>
      </c>
      <c r="G20" s="111">
        <v>86.4</v>
      </c>
      <c r="H20" s="111">
        <v>86.4</v>
      </c>
      <c r="I20" s="111">
        <v>0</v>
      </c>
      <c r="J20" s="148">
        <v>100.2</v>
      </c>
      <c r="K20" s="148">
        <v>100.2</v>
      </c>
      <c r="L20" s="148">
        <v>0</v>
      </c>
      <c r="M20" s="148">
        <v>110.2</v>
      </c>
      <c r="N20" s="148">
        <v>110.2</v>
      </c>
      <c r="O20" s="148">
        <v>0</v>
      </c>
      <c r="P20" s="38">
        <f>M20/F20</f>
        <v>9.1833333333333336</v>
      </c>
    </row>
    <row r="21" spans="1:16">
      <c r="A21" s="128">
        <f t="shared" si="0"/>
        <v>15</v>
      </c>
      <c r="B21" s="1" t="s">
        <v>100</v>
      </c>
      <c r="C21" s="1" t="s">
        <v>103</v>
      </c>
      <c r="D21" s="54">
        <v>15</v>
      </c>
      <c r="E21" s="54"/>
      <c r="F21" s="82">
        <v>41</v>
      </c>
      <c r="G21" s="111">
        <v>258</v>
      </c>
      <c r="H21" s="111">
        <v>201.9</v>
      </c>
      <c r="I21" s="111">
        <v>56.1</v>
      </c>
      <c r="J21" s="148">
        <v>264.7</v>
      </c>
      <c r="K21" s="148">
        <v>216.4</v>
      </c>
      <c r="L21" s="148">
        <v>48.3</v>
      </c>
      <c r="M21" s="148">
        <v>233.5</v>
      </c>
      <c r="N21" s="148">
        <v>217.4</v>
      </c>
      <c r="O21" s="148">
        <v>16.100000000000001</v>
      </c>
      <c r="P21" s="38">
        <f>M21/F21</f>
        <v>5.6951219512195124</v>
      </c>
    </row>
    <row r="22" spans="1:16">
      <c r="A22" s="128">
        <f t="shared" si="0"/>
        <v>16</v>
      </c>
      <c r="B22" s="1" t="s">
        <v>100</v>
      </c>
      <c r="C22" s="1" t="s">
        <v>21</v>
      </c>
      <c r="D22" s="54">
        <v>26</v>
      </c>
      <c r="E22" s="54"/>
      <c r="F22" s="82">
        <v>42</v>
      </c>
      <c r="G22" s="111"/>
      <c r="H22" s="111"/>
      <c r="I22" s="111"/>
      <c r="J22" s="148">
        <v>182.4</v>
      </c>
      <c r="K22" s="148">
        <v>182.4</v>
      </c>
      <c r="L22" s="148">
        <v>0</v>
      </c>
      <c r="M22" s="148">
        <v>238</v>
      </c>
      <c r="N22" s="148">
        <v>238</v>
      </c>
      <c r="O22" s="148">
        <v>0</v>
      </c>
      <c r="P22" s="38">
        <f>M22/F22</f>
        <v>5.666666666666667</v>
      </c>
    </row>
    <row r="23" spans="1:16">
      <c r="A23" s="128">
        <f t="shared" si="0"/>
        <v>17</v>
      </c>
      <c r="B23" s="1" t="s">
        <v>100</v>
      </c>
      <c r="C23" s="1" t="s">
        <v>90</v>
      </c>
      <c r="D23" s="54">
        <v>3</v>
      </c>
      <c r="E23" s="54" t="s">
        <v>18</v>
      </c>
      <c r="F23" s="82">
        <v>12</v>
      </c>
      <c r="G23" s="111">
        <v>39.6</v>
      </c>
      <c r="H23" s="111">
        <v>23.8</v>
      </c>
      <c r="I23" s="111">
        <v>15.8</v>
      </c>
      <c r="J23" s="148">
        <v>42.7</v>
      </c>
      <c r="K23" s="148">
        <v>26.2</v>
      </c>
      <c r="L23" s="148">
        <v>16.5</v>
      </c>
      <c r="M23" s="148">
        <v>39.9</v>
      </c>
      <c r="N23" s="148">
        <v>23.4</v>
      </c>
      <c r="O23" s="148">
        <v>16.5</v>
      </c>
      <c r="P23" s="38">
        <f>M23/F23</f>
        <v>3.3249999999999997</v>
      </c>
    </row>
    <row r="24" spans="1:16">
      <c r="A24" s="128">
        <f t="shared" si="0"/>
        <v>18</v>
      </c>
      <c r="B24" s="1" t="s">
        <v>100</v>
      </c>
      <c r="C24" s="1" t="s">
        <v>34</v>
      </c>
      <c r="D24" s="54">
        <v>19</v>
      </c>
      <c r="E24" s="54"/>
      <c r="F24" s="82">
        <v>8</v>
      </c>
      <c r="G24" s="111">
        <v>24.3</v>
      </c>
      <c r="H24" s="111">
        <v>24.3</v>
      </c>
      <c r="I24" s="111">
        <v>0</v>
      </c>
      <c r="J24" s="148">
        <v>20.9</v>
      </c>
      <c r="K24" s="148">
        <v>20.9</v>
      </c>
      <c r="L24" s="148">
        <v>0</v>
      </c>
      <c r="M24" s="148">
        <v>24.3</v>
      </c>
      <c r="N24" s="148">
        <v>24.3</v>
      </c>
      <c r="O24" s="148">
        <v>0</v>
      </c>
      <c r="P24" s="38">
        <f>M24/F24</f>
        <v>3.0375000000000001</v>
      </c>
    </row>
    <row r="25" spans="1:16" s="42" customFormat="1">
      <c r="A25" s="40"/>
      <c r="B25" s="41" t="s">
        <v>8</v>
      </c>
      <c r="C25" s="41"/>
      <c r="D25" s="40"/>
      <c r="E25" s="40"/>
      <c r="F25" s="84">
        <f>SUM(F7:F24)</f>
        <v>448</v>
      </c>
      <c r="G25" s="81">
        <f>SUM(G7:G24)</f>
        <v>8013.0000000000009</v>
      </c>
      <c r="H25" s="81">
        <f>SUM(H7:H24)</f>
        <v>3674.8</v>
      </c>
      <c r="I25" s="81">
        <f>SUM(I7:I24)</f>
        <v>4338.2</v>
      </c>
      <c r="J25" s="81">
        <f t="shared" ref="J25:K25" si="1">SUM(J7:J24)</f>
        <v>8284.7000000000007</v>
      </c>
      <c r="K25" s="81">
        <f t="shared" si="1"/>
        <v>3968.4</v>
      </c>
      <c r="L25" s="81">
        <f>SUM(L7:L24)</f>
        <v>4316.3</v>
      </c>
      <c r="M25" s="81">
        <f>SUM(M7:M24)</f>
        <v>8297.6</v>
      </c>
      <c r="N25" s="81">
        <f t="shared" ref="N25:O25" si="2">SUM(N7:N24)</f>
        <v>4164.0999999999995</v>
      </c>
      <c r="O25" s="81">
        <f t="shared" si="2"/>
        <v>4133.5</v>
      </c>
      <c r="P25" s="80"/>
    </row>
    <row r="26" spans="1:16" s="77" customFormat="1">
      <c r="A26" s="214" t="s">
        <v>112</v>
      </c>
      <c r="B26" s="214"/>
      <c r="C26" s="214"/>
      <c r="D26" s="214"/>
      <c r="E26" s="214"/>
      <c r="F26" s="214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6">
      <c r="A27" s="67">
        <v>1</v>
      </c>
      <c r="B27" s="36" t="s">
        <v>100</v>
      </c>
      <c r="C27" s="36" t="s">
        <v>89</v>
      </c>
      <c r="D27" s="111">
        <v>9</v>
      </c>
      <c r="E27" s="54"/>
      <c r="F27" s="82">
        <v>12</v>
      </c>
      <c r="G27" s="111">
        <v>126.7</v>
      </c>
      <c r="H27" s="111">
        <v>126.7</v>
      </c>
      <c r="I27" s="111">
        <v>0</v>
      </c>
      <c r="J27" s="148">
        <v>112.4</v>
      </c>
      <c r="K27" s="148">
        <v>112.4</v>
      </c>
      <c r="L27" s="148">
        <v>0</v>
      </c>
      <c r="M27" s="148">
        <v>95.1</v>
      </c>
      <c r="N27" s="148">
        <v>95.1</v>
      </c>
      <c r="O27" s="148">
        <v>0</v>
      </c>
      <c r="P27" s="38">
        <f>M27/F27</f>
        <v>7.9249999999999998</v>
      </c>
    </row>
    <row r="28" spans="1:16" s="60" customFormat="1">
      <c r="A28" s="68">
        <v>2</v>
      </c>
      <c r="B28" s="68" t="s">
        <v>100</v>
      </c>
      <c r="C28" s="68" t="s">
        <v>90</v>
      </c>
      <c r="D28" s="68">
        <v>3</v>
      </c>
      <c r="E28" s="68"/>
      <c r="F28" s="80">
        <v>12</v>
      </c>
      <c r="G28" s="111">
        <v>11.6</v>
      </c>
      <c r="H28" s="111">
        <v>11.6</v>
      </c>
      <c r="I28" s="111">
        <v>0</v>
      </c>
      <c r="J28" s="148">
        <v>11.6</v>
      </c>
      <c r="K28" s="148">
        <v>11.6</v>
      </c>
      <c r="L28" s="148">
        <v>0</v>
      </c>
      <c r="M28" s="148">
        <v>11.6</v>
      </c>
      <c r="N28" s="148">
        <v>11.6</v>
      </c>
      <c r="O28" s="148">
        <v>0</v>
      </c>
      <c r="P28" s="38">
        <f t="shared" ref="P28:P29" si="3">M28/F28</f>
        <v>0.96666666666666667</v>
      </c>
    </row>
    <row r="29" spans="1:16" s="53" customFormat="1">
      <c r="A29" s="98">
        <v>3</v>
      </c>
      <c r="B29" s="36" t="s">
        <v>100</v>
      </c>
      <c r="C29" s="36" t="s">
        <v>34</v>
      </c>
      <c r="D29" s="98">
        <v>22</v>
      </c>
      <c r="E29" s="98"/>
      <c r="F29" s="83">
        <v>12</v>
      </c>
      <c r="G29" s="111">
        <v>33.5</v>
      </c>
      <c r="H29" s="111">
        <v>33.5</v>
      </c>
      <c r="I29" s="111">
        <v>0</v>
      </c>
      <c r="J29" s="148">
        <v>27</v>
      </c>
      <c r="K29" s="148">
        <v>27</v>
      </c>
      <c r="L29" s="148">
        <v>0</v>
      </c>
      <c r="M29" s="148">
        <v>24.9</v>
      </c>
      <c r="N29" s="148">
        <v>24.9</v>
      </c>
      <c r="O29" s="148">
        <v>0</v>
      </c>
      <c r="P29" s="38">
        <f>M29/F29</f>
        <v>2.0749999999999997</v>
      </c>
    </row>
    <row r="30" spans="1:16" s="42" customFormat="1">
      <c r="A30" s="41"/>
      <c r="B30" s="41" t="s">
        <v>8</v>
      </c>
      <c r="C30" s="41"/>
      <c r="D30" s="41"/>
      <c r="E30" s="41"/>
      <c r="F30" s="81">
        <f>SUM(F27:F29)</f>
        <v>36</v>
      </c>
      <c r="G30" s="81">
        <f t="shared" ref="G30:K30" si="4">SUM(G27:G29)</f>
        <v>171.8</v>
      </c>
      <c r="H30" s="81">
        <f t="shared" si="4"/>
        <v>171.8</v>
      </c>
      <c r="I30" s="81">
        <f t="shared" si="4"/>
        <v>0</v>
      </c>
      <c r="J30" s="81">
        <f t="shared" si="4"/>
        <v>151</v>
      </c>
      <c r="K30" s="81">
        <f t="shared" si="4"/>
        <v>151</v>
      </c>
      <c r="L30" s="81">
        <f>SUM(L27:L29)</f>
        <v>0</v>
      </c>
      <c r="M30" s="81">
        <f t="shared" ref="M30:O30" si="5">SUM(M27:M29)</f>
        <v>131.6</v>
      </c>
      <c r="N30" s="81">
        <f>SUM(N27:N29)</f>
        <v>131.6</v>
      </c>
      <c r="O30" s="81">
        <f t="shared" si="5"/>
        <v>0</v>
      </c>
      <c r="P30" s="81"/>
    </row>
    <row r="32" spans="1:16" s="253" customFormat="1">
      <c r="A32" s="244"/>
      <c r="B32" s="245" t="s">
        <v>137</v>
      </c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</row>
    <row r="33" spans="1:22" s="253" customFormat="1" ht="33" customHeight="1">
      <c r="A33" s="175" t="s">
        <v>146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55"/>
      <c r="O33" s="255"/>
      <c r="P33" s="255"/>
      <c r="Q33" s="255"/>
      <c r="R33" s="255"/>
      <c r="S33" s="255"/>
      <c r="T33" s="255"/>
      <c r="U33" s="255"/>
      <c r="V33" s="255"/>
    </row>
  </sheetData>
  <sortState ref="C7:P24">
    <sortCondition descending="1" ref="P7:P24"/>
  </sortState>
  <mergeCells count="21">
    <mergeCell ref="A33:M33"/>
    <mergeCell ref="C1:O1"/>
    <mergeCell ref="A26:F26"/>
    <mergeCell ref="P4:P6"/>
    <mergeCell ref="K5:L5"/>
    <mergeCell ref="A4:A6"/>
    <mergeCell ref="B4:B6"/>
    <mergeCell ref="C4:E4"/>
    <mergeCell ref="C5:C6"/>
    <mergeCell ref="D5:D6"/>
    <mergeCell ref="E5:E6"/>
    <mergeCell ref="G4:I4"/>
    <mergeCell ref="G5:G6"/>
    <mergeCell ref="H5:I5"/>
    <mergeCell ref="J4:L4"/>
    <mergeCell ref="J5:J6"/>
    <mergeCell ref="F4:F6"/>
    <mergeCell ref="C2:F2"/>
    <mergeCell ref="M4:O4"/>
    <mergeCell ref="M5:M6"/>
    <mergeCell ref="N5:O5"/>
  </mergeCells>
  <pageMargins left="0.15748031496062992" right="0.1574803149606299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9"/>
  <sheetViews>
    <sheetView workbookViewId="0">
      <selection activeCell="M8" sqref="M8"/>
    </sheetView>
  </sheetViews>
  <sheetFormatPr defaultRowHeight="15"/>
  <cols>
    <col min="1" max="1" width="5" customWidth="1"/>
    <col min="2" max="2" width="25.140625" customWidth="1"/>
    <col min="5" max="5" width="8" customWidth="1"/>
    <col min="6" max="6" width="10.85546875" customWidth="1"/>
    <col min="16" max="16" width="11" customWidth="1"/>
  </cols>
  <sheetData>
    <row r="2" spans="1:16">
      <c r="B2" s="173" t="s">
        <v>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4" spans="1:16">
      <c r="P4" t="s">
        <v>9</v>
      </c>
    </row>
    <row r="5" spans="1:16" ht="29.25" customHeight="1">
      <c r="A5" s="166" t="s">
        <v>0</v>
      </c>
      <c r="B5" s="166" t="s">
        <v>12</v>
      </c>
      <c r="C5" s="166" t="s">
        <v>1</v>
      </c>
      <c r="D5" s="166"/>
      <c r="E5" s="166"/>
      <c r="F5" s="184" t="s">
        <v>76</v>
      </c>
      <c r="G5" s="213" t="s">
        <v>132</v>
      </c>
      <c r="H5" s="213"/>
      <c r="I5" s="213"/>
      <c r="J5" s="213" t="s">
        <v>133</v>
      </c>
      <c r="K5" s="213"/>
      <c r="L5" s="213"/>
      <c r="M5" s="213" t="s">
        <v>134</v>
      </c>
      <c r="N5" s="213"/>
      <c r="O5" s="213"/>
      <c r="P5" s="161" t="s">
        <v>104</v>
      </c>
    </row>
    <row r="6" spans="1:16">
      <c r="A6" s="166"/>
      <c r="B6" s="166"/>
      <c r="C6" s="166" t="s">
        <v>2</v>
      </c>
      <c r="D6" s="166" t="s">
        <v>3</v>
      </c>
      <c r="E6" s="166" t="s">
        <v>4</v>
      </c>
      <c r="F6" s="185"/>
      <c r="G6" s="169" t="s">
        <v>5</v>
      </c>
      <c r="H6" s="171" t="s">
        <v>11</v>
      </c>
      <c r="I6" s="172"/>
      <c r="J6" s="169" t="s">
        <v>5</v>
      </c>
      <c r="K6" s="171" t="s">
        <v>11</v>
      </c>
      <c r="L6" s="172"/>
      <c r="M6" s="169" t="s">
        <v>5</v>
      </c>
      <c r="N6" s="171" t="s">
        <v>11</v>
      </c>
      <c r="O6" s="172"/>
      <c r="P6" s="162"/>
    </row>
    <row r="7" spans="1:16" ht="51">
      <c r="A7" s="184"/>
      <c r="B7" s="184"/>
      <c r="C7" s="184"/>
      <c r="D7" s="184"/>
      <c r="E7" s="184"/>
      <c r="F7" s="185"/>
      <c r="G7" s="170"/>
      <c r="H7" s="14" t="s">
        <v>6</v>
      </c>
      <c r="I7" s="14" t="s">
        <v>7</v>
      </c>
      <c r="J7" s="170"/>
      <c r="K7" s="14" t="s">
        <v>6</v>
      </c>
      <c r="L7" s="14" t="s">
        <v>7</v>
      </c>
      <c r="M7" s="170"/>
      <c r="N7" s="14" t="s">
        <v>6</v>
      </c>
      <c r="O7" s="14" t="s">
        <v>7</v>
      </c>
      <c r="P7" s="162"/>
    </row>
    <row r="8" spans="1:16">
      <c r="A8" s="37">
        <v>1</v>
      </c>
      <c r="B8" s="72" t="s">
        <v>109</v>
      </c>
      <c r="C8" s="73" t="s">
        <v>16</v>
      </c>
      <c r="D8" s="51">
        <v>39</v>
      </c>
      <c r="E8" s="1"/>
      <c r="F8" s="44">
        <v>75</v>
      </c>
      <c r="G8" s="74">
        <f>H8+I8</f>
        <v>805.29999999999836</v>
      </c>
      <c r="H8" s="74">
        <f>'[4]Д-1 '!$Y$9</f>
        <v>402.19999999999891</v>
      </c>
      <c r="I8" s="74">
        <f>'[4]Д-1 '!$Z$9</f>
        <v>403.09999999999945</v>
      </c>
      <c r="J8" s="74">
        <f>K8+L8</f>
        <v>900.39999999999839</v>
      </c>
      <c r="K8" s="74">
        <f>'[5]Я-1 '!$Y$9</f>
        <v>418.39999999999895</v>
      </c>
      <c r="L8" s="74">
        <f>'[5]Я-1 '!$Z$9</f>
        <v>481.99999999999943</v>
      </c>
      <c r="M8" s="74">
        <f>N8+O8</f>
        <v>1153.5</v>
      </c>
      <c r="N8" s="74">
        <v>457.1</v>
      </c>
      <c r="O8" s="74">
        <v>696.4</v>
      </c>
      <c r="P8" s="74">
        <f>M8/F8</f>
        <v>15.38</v>
      </c>
    </row>
    <row r="9" spans="1:16" s="66" customFormat="1">
      <c r="A9" s="52"/>
      <c r="B9" s="75" t="s">
        <v>8</v>
      </c>
      <c r="C9" s="52"/>
      <c r="D9" s="52"/>
      <c r="E9" s="52"/>
      <c r="F9" s="52">
        <f>SUM(F8)</f>
        <v>75</v>
      </c>
      <c r="G9" s="76">
        <f t="shared" ref="G9:O9" si="0">SUM(G8)</f>
        <v>805.29999999999836</v>
      </c>
      <c r="H9" s="76">
        <f t="shared" si="0"/>
        <v>402.19999999999891</v>
      </c>
      <c r="I9" s="76">
        <f t="shared" si="0"/>
        <v>403.09999999999945</v>
      </c>
      <c r="J9" s="76">
        <f t="shared" si="0"/>
        <v>900.39999999999839</v>
      </c>
      <c r="K9" s="76">
        <f t="shared" si="0"/>
        <v>418.39999999999895</v>
      </c>
      <c r="L9" s="76">
        <f t="shared" si="0"/>
        <v>481.99999999999943</v>
      </c>
      <c r="M9" s="76">
        <f t="shared" si="0"/>
        <v>1153.5</v>
      </c>
      <c r="N9" s="76">
        <f t="shared" si="0"/>
        <v>457.1</v>
      </c>
      <c r="O9" s="76">
        <f t="shared" si="0"/>
        <v>696.4</v>
      </c>
      <c r="P9" s="52"/>
    </row>
  </sheetData>
  <mergeCells count="18">
    <mergeCell ref="N6:O6"/>
    <mergeCell ref="C6:C7"/>
    <mergeCell ref="D6:D7"/>
    <mergeCell ref="E6:E7"/>
    <mergeCell ref="B2:P2"/>
    <mergeCell ref="A5:A7"/>
    <mergeCell ref="B5:B7"/>
    <mergeCell ref="C5:E5"/>
    <mergeCell ref="F5:F7"/>
    <mergeCell ref="J5:L5"/>
    <mergeCell ref="P5:P7"/>
    <mergeCell ref="G5:I5"/>
    <mergeCell ref="G6:G7"/>
    <mergeCell ref="H6:I6"/>
    <mergeCell ref="J6:J7"/>
    <mergeCell ref="K6:L6"/>
    <mergeCell ref="M5:O5"/>
    <mergeCell ref="M6:M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81"/>
  <sheetViews>
    <sheetView workbookViewId="0">
      <pane xSplit="6" ySplit="5" topLeftCell="G60" activePane="bottomRight" state="frozen"/>
      <selection pane="topRight" activeCell="G1" sqref="G1"/>
      <selection pane="bottomLeft" activeCell="A6" sqref="A6"/>
      <selection pane="bottomRight" activeCell="R29" sqref="R29"/>
    </sheetView>
  </sheetViews>
  <sheetFormatPr defaultRowHeight="15"/>
  <cols>
    <col min="1" max="1" width="5" customWidth="1"/>
    <col min="2" max="2" width="21.140625" customWidth="1"/>
    <col min="3" max="3" width="16.85546875" customWidth="1"/>
    <col min="4" max="4" width="10.85546875" customWidth="1"/>
    <col min="5" max="6" width="9.85546875" customWidth="1"/>
    <col min="7" max="15" width="12.140625" customWidth="1"/>
  </cols>
  <sheetData>
    <row r="1" spans="1:16">
      <c r="C1" s="173" t="s">
        <v>10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>
      <c r="P2" s="96" t="s">
        <v>9</v>
      </c>
    </row>
    <row r="3" spans="1:16" ht="35.25" customHeight="1">
      <c r="A3" s="166" t="s">
        <v>0</v>
      </c>
      <c r="B3" s="166" t="s">
        <v>12</v>
      </c>
      <c r="C3" s="166" t="s">
        <v>1</v>
      </c>
      <c r="D3" s="166"/>
      <c r="E3" s="166"/>
      <c r="F3" s="184" t="s">
        <v>76</v>
      </c>
      <c r="G3" s="168" t="s">
        <v>132</v>
      </c>
      <c r="H3" s="168"/>
      <c r="I3" s="168"/>
      <c r="J3" s="168" t="s">
        <v>133</v>
      </c>
      <c r="K3" s="168"/>
      <c r="L3" s="168"/>
      <c r="M3" s="168" t="s">
        <v>134</v>
      </c>
      <c r="N3" s="168"/>
      <c r="O3" s="168"/>
      <c r="P3" s="161" t="s">
        <v>104</v>
      </c>
    </row>
    <row r="4" spans="1:16">
      <c r="A4" s="166"/>
      <c r="B4" s="166"/>
      <c r="C4" s="166" t="s">
        <v>2</v>
      </c>
      <c r="D4" s="166" t="s">
        <v>3</v>
      </c>
      <c r="E4" s="166" t="s">
        <v>4</v>
      </c>
      <c r="F4" s="185"/>
      <c r="G4" s="169" t="s">
        <v>5</v>
      </c>
      <c r="H4" s="171" t="s">
        <v>11</v>
      </c>
      <c r="I4" s="172"/>
      <c r="J4" s="169" t="s">
        <v>5</v>
      </c>
      <c r="K4" s="171" t="s">
        <v>11</v>
      </c>
      <c r="L4" s="172"/>
      <c r="M4" s="169" t="s">
        <v>5</v>
      </c>
      <c r="N4" s="171" t="s">
        <v>11</v>
      </c>
      <c r="O4" s="172"/>
      <c r="P4" s="162"/>
    </row>
    <row r="5" spans="1:16" ht="38.25">
      <c r="A5" s="166"/>
      <c r="B5" s="166"/>
      <c r="C5" s="166"/>
      <c r="D5" s="166"/>
      <c r="E5" s="166"/>
      <c r="F5" s="186"/>
      <c r="G5" s="169"/>
      <c r="H5" s="14" t="s">
        <v>6</v>
      </c>
      <c r="I5" s="14" t="s">
        <v>7</v>
      </c>
      <c r="J5" s="169"/>
      <c r="K5" s="14" t="s">
        <v>6</v>
      </c>
      <c r="L5" s="14" t="s">
        <v>7</v>
      </c>
      <c r="M5" s="169"/>
      <c r="N5" s="14" t="s">
        <v>6</v>
      </c>
      <c r="O5" s="14" t="s">
        <v>7</v>
      </c>
      <c r="P5" s="163"/>
    </row>
    <row r="6" spans="1:16" ht="16.5" customHeight="1">
      <c r="A6" s="331">
        <v>1</v>
      </c>
      <c r="B6" s="331" t="s">
        <v>115</v>
      </c>
      <c r="C6" s="346" t="s">
        <v>35</v>
      </c>
      <c r="D6" s="347">
        <v>12</v>
      </c>
      <c r="E6" s="347"/>
      <c r="F6" s="347">
        <f>'[6]Реестр УК новый'!$G$244</f>
        <v>12</v>
      </c>
      <c r="G6" s="257">
        <f>H6+I6</f>
        <v>155.32</v>
      </c>
      <c r="H6" s="335">
        <v>61.54</v>
      </c>
      <c r="I6" s="335">
        <v>93.78</v>
      </c>
      <c r="J6" s="335">
        <f>SUM(K6:L6)</f>
        <v>169.61</v>
      </c>
      <c r="K6" s="335">
        <v>59.45</v>
      </c>
      <c r="L6" s="335">
        <v>110.16</v>
      </c>
      <c r="M6" s="335">
        <f>SUM(N6:O6)</f>
        <v>293.3</v>
      </c>
      <c r="N6" s="335">
        <v>88.83</v>
      </c>
      <c r="O6" s="335">
        <v>204.47</v>
      </c>
      <c r="P6" s="350">
        <f>M6/F6</f>
        <v>24.441666666666666</v>
      </c>
    </row>
    <row r="7" spans="1:16" ht="16.5" customHeight="1">
      <c r="A7" s="331">
        <f>A6+1</f>
        <v>2</v>
      </c>
      <c r="B7" s="331" t="s">
        <v>115</v>
      </c>
      <c r="C7" s="332" t="s">
        <v>47</v>
      </c>
      <c r="D7" s="333">
        <v>4</v>
      </c>
      <c r="E7" s="334"/>
      <c r="F7" s="334">
        <f>'[6]Реестр УК новый'!$G$170</f>
        <v>12</v>
      </c>
      <c r="G7" s="257">
        <f>H7+I7</f>
        <v>243.68</v>
      </c>
      <c r="H7" s="335">
        <v>78.36</v>
      </c>
      <c r="I7" s="335">
        <v>165.32</v>
      </c>
      <c r="J7" s="335">
        <f>SUM(K7:L7)</f>
        <v>279.57</v>
      </c>
      <c r="K7" s="335">
        <v>78.63</v>
      </c>
      <c r="L7" s="335">
        <v>200.94</v>
      </c>
      <c r="M7" s="335">
        <f>SUM(N7:O7)</f>
        <v>292</v>
      </c>
      <c r="N7" s="335">
        <v>70.05</v>
      </c>
      <c r="O7" s="335">
        <v>221.95</v>
      </c>
      <c r="P7" s="336">
        <f>M7/F7</f>
        <v>24.333333333333332</v>
      </c>
    </row>
    <row r="8" spans="1:16" ht="16.5" customHeight="1">
      <c r="A8" s="331">
        <f t="shared" ref="A8:A71" si="0">A7+1</f>
        <v>3</v>
      </c>
      <c r="B8" s="331" t="s">
        <v>115</v>
      </c>
      <c r="C8" s="337" t="s">
        <v>94</v>
      </c>
      <c r="D8" s="334">
        <v>16</v>
      </c>
      <c r="E8" s="334"/>
      <c r="F8" s="334">
        <f>'[6]Реестр УК новый'!$G$357</f>
        <v>12</v>
      </c>
      <c r="G8" s="257">
        <f>H8+I8</f>
        <v>193.52</v>
      </c>
      <c r="H8" s="335">
        <v>96.84</v>
      </c>
      <c r="I8" s="335">
        <v>96.68</v>
      </c>
      <c r="J8" s="335">
        <f>SUM(K8:L8)</f>
        <v>217.48000000000002</v>
      </c>
      <c r="K8" s="335">
        <v>97.48</v>
      </c>
      <c r="L8" s="335">
        <v>120</v>
      </c>
      <c r="M8" s="335">
        <f>SUM(N8:O8)</f>
        <v>278</v>
      </c>
      <c r="N8" s="335">
        <v>120.88</v>
      </c>
      <c r="O8" s="335">
        <v>157.12</v>
      </c>
      <c r="P8" s="336">
        <f>M8/F8</f>
        <v>23.166666666666668</v>
      </c>
    </row>
    <row r="9" spans="1:16" s="53" customFormat="1" ht="16.5" customHeight="1">
      <c r="A9" s="331">
        <f t="shared" si="0"/>
        <v>4</v>
      </c>
      <c r="B9" s="331" t="s">
        <v>115</v>
      </c>
      <c r="C9" s="332" t="s">
        <v>16</v>
      </c>
      <c r="D9" s="333">
        <v>32</v>
      </c>
      <c r="E9" s="334"/>
      <c r="F9" s="334">
        <f>'[6]Реестр УК новый'!$G$126</f>
        <v>12</v>
      </c>
      <c r="G9" s="257">
        <f>H9+I9</f>
        <v>135.75</v>
      </c>
      <c r="H9" s="335">
        <v>58.52</v>
      </c>
      <c r="I9" s="335">
        <v>77.23</v>
      </c>
      <c r="J9" s="335">
        <f>SUM(K9:L9)</f>
        <v>154.61000000000001</v>
      </c>
      <c r="K9" s="335">
        <v>52.25</v>
      </c>
      <c r="L9" s="335">
        <v>102.36</v>
      </c>
      <c r="M9" s="335">
        <f>SUM(N9:O9)</f>
        <v>257.88</v>
      </c>
      <c r="N9" s="335">
        <v>120.56</v>
      </c>
      <c r="O9" s="335">
        <v>137.32</v>
      </c>
      <c r="P9" s="336">
        <f>M9/F9</f>
        <v>21.49</v>
      </c>
    </row>
    <row r="10" spans="1:16" s="53" customFormat="1" ht="16.5" customHeight="1">
      <c r="A10" s="331">
        <f t="shared" si="0"/>
        <v>5</v>
      </c>
      <c r="B10" s="331" t="s">
        <v>115</v>
      </c>
      <c r="C10" s="346" t="s">
        <v>120</v>
      </c>
      <c r="D10" s="347">
        <v>4</v>
      </c>
      <c r="E10" s="347"/>
      <c r="F10" s="347">
        <f>'[6]Реестр УК новый'!$G$338</f>
        <v>35</v>
      </c>
      <c r="G10" s="257">
        <f>H10+I10</f>
        <v>768.8</v>
      </c>
      <c r="H10" s="335">
        <v>269.91000000000003</v>
      </c>
      <c r="I10" s="335">
        <v>498.89</v>
      </c>
      <c r="J10" s="335">
        <f>SUM(K10:L10)</f>
        <v>787.65000000000009</v>
      </c>
      <c r="K10" s="335">
        <v>268.19</v>
      </c>
      <c r="L10" s="335">
        <v>519.46</v>
      </c>
      <c r="M10" s="348">
        <f>SUM(N10:O10)</f>
        <v>672.41</v>
      </c>
      <c r="N10" s="348">
        <v>252.82</v>
      </c>
      <c r="O10" s="348">
        <v>419.59</v>
      </c>
      <c r="P10" s="336">
        <f>M10/F10</f>
        <v>19.211714285714283</v>
      </c>
    </row>
    <row r="11" spans="1:16" s="53" customFormat="1" ht="16.5" customHeight="1">
      <c r="A11" s="331">
        <f t="shared" si="0"/>
        <v>6</v>
      </c>
      <c r="B11" s="331" t="s">
        <v>115</v>
      </c>
      <c r="C11" s="337" t="s">
        <v>94</v>
      </c>
      <c r="D11" s="334">
        <v>41</v>
      </c>
      <c r="E11" s="334"/>
      <c r="F11" s="334">
        <f>'[6]Реестр УК новый'!$G$371</f>
        <v>12</v>
      </c>
      <c r="G11" s="257">
        <f>H11+I11</f>
        <v>140.01</v>
      </c>
      <c r="H11" s="335">
        <v>140.01</v>
      </c>
      <c r="I11" s="335"/>
      <c r="J11" s="335">
        <f>SUM(K11:L11)</f>
        <v>139.1</v>
      </c>
      <c r="K11" s="335">
        <v>139.1</v>
      </c>
      <c r="L11" s="335"/>
      <c r="M11" s="335">
        <f>SUM(N11:O11)</f>
        <v>211.43</v>
      </c>
      <c r="N11" s="335">
        <v>211.43</v>
      </c>
      <c r="O11" s="335"/>
      <c r="P11" s="336">
        <f>M11/F11</f>
        <v>17.619166666666668</v>
      </c>
    </row>
    <row r="12" spans="1:16" s="53" customFormat="1" ht="16.5" customHeight="1">
      <c r="A12" s="331">
        <f t="shared" si="0"/>
        <v>7</v>
      </c>
      <c r="B12" s="331" t="s">
        <v>115</v>
      </c>
      <c r="C12" s="337" t="s">
        <v>35</v>
      </c>
      <c r="D12" s="334">
        <v>8</v>
      </c>
      <c r="E12" s="334"/>
      <c r="F12" s="334">
        <f>'[6]Реестр УК новый'!$G$242</f>
        <v>8</v>
      </c>
      <c r="G12" s="257">
        <f>H12+I12</f>
        <v>117.77000000000001</v>
      </c>
      <c r="H12" s="335">
        <v>56.25</v>
      </c>
      <c r="I12" s="335">
        <v>61.52</v>
      </c>
      <c r="J12" s="335">
        <f>SUM(K12:L12)</f>
        <v>123.64000000000001</v>
      </c>
      <c r="K12" s="335">
        <v>54.52</v>
      </c>
      <c r="L12" s="335">
        <v>69.12</v>
      </c>
      <c r="M12" s="335">
        <f>SUM(N12:O12)</f>
        <v>140.77000000000001</v>
      </c>
      <c r="N12" s="335">
        <v>42.15</v>
      </c>
      <c r="O12" s="335">
        <v>98.62</v>
      </c>
      <c r="P12" s="336">
        <f>M12/F12</f>
        <v>17.596250000000001</v>
      </c>
    </row>
    <row r="13" spans="1:16" s="53" customFormat="1" ht="16.5" customHeight="1">
      <c r="A13" s="331">
        <f t="shared" si="0"/>
        <v>8</v>
      </c>
      <c r="B13" s="331" t="s">
        <v>115</v>
      </c>
      <c r="C13" s="349" t="s">
        <v>71</v>
      </c>
      <c r="D13" s="334">
        <v>19</v>
      </c>
      <c r="E13" s="334" t="s">
        <v>18</v>
      </c>
      <c r="F13" s="334">
        <f>'[6]Реестр УК новый'!$G$240</f>
        <v>12</v>
      </c>
      <c r="G13" s="257">
        <f>H13+I13</f>
        <v>148.59</v>
      </c>
      <c r="H13" s="335">
        <v>65.98</v>
      </c>
      <c r="I13" s="335">
        <v>82.61</v>
      </c>
      <c r="J13" s="335">
        <f>SUM(K13:L13)</f>
        <v>162.5</v>
      </c>
      <c r="K13" s="335">
        <v>62.89</v>
      </c>
      <c r="L13" s="335">
        <v>99.61</v>
      </c>
      <c r="M13" s="335">
        <f>SUM(N13:O13)</f>
        <v>208.7</v>
      </c>
      <c r="N13" s="335">
        <v>65.5</v>
      </c>
      <c r="O13" s="335">
        <v>143.19999999999999</v>
      </c>
      <c r="P13" s="336">
        <f>M13/F13</f>
        <v>17.391666666666666</v>
      </c>
    </row>
    <row r="14" spans="1:16" s="53" customFormat="1" ht="16.5" customHeight="1">
      <c r="A14" s="331">
        <f t="shared" si="0"/>
        <v>9</v>
      </c>
      <c r="B14" s="331" t="s">
        <v>115</v>
      </c>
      <c r="C14" s="337" t="s">
        <v>34</v>
      </c>
      <c r="D14" s="334">
        <v>15</v>
      </c>
      <c r="E14" s="334"/>
      <c r="F14" s="334">
        <f>'[6]Реестр УК новый'!$G$210</f>
        <v>8</v>
      </c>
      <c r="G14" s="257">
        <f>H14+I14</f>
        <v>81.95</v>
      </c>
      <c r="H14" s="335">
        <v>81.95</v>
      </c>
      <c r="I14" s="335"/>
      <c r="J14" s="335">
        <f>SUM(K14:L14)</f>
        <v>79.59</v>
      </c>
      <c r="K14" s="335">
        <v>79.59</v>
      </c>
      <c r="L14" s="335"/>
      <c r="M14" s="335">
        <f>SUM(N14:O14)</f>
        <v>125.23</v>
      </c>
      <c r="N14" s="335">
        <v>125.23</v>
      </c>
      <c r="O14" s="335"/>
      <c r="P14" s="336">
        <f>M14/F14</f>
        <v>15.65375</v>
      </c>
    </row>
    <row r="15" spans="1:16" s="53" customFormat="1" ht="16.5" customHeight="1">
      <c r="A15" s="331">
        <f t="shared" si="0"/>
        <v>10</v>
      </c>
      <c r="B15" s="331" t="s">
        <v>115</v>
      </c>
      <c r="C15" s="332" t="s">
        <v>81</v>
      </c>
      <c r="D15" s="333">
        <v>5</v>
      </c>
      <c r="E15" s="334"/>
      <c r="F15" s="334">
        <f>'[6]Реестр УК новый'!$G$104</f>
        <v>12</v>
      </c>
      <c r="G15" s="257">
        <f>H15+I15</f>
        <v>170.23000000000002</v>
      </c>
      <c r="H15" s="335">
        <v>96</v>
      </c>
      <c r="I15" s="335">
        <v>74.23</v>
      </c>
      <c r="J15" s="335">
        <f>SUM(K15:L15)</f>
        <v>191.16</v>
      </c>
      <c r="K15" s="335">
        <v>95</v>
      </c>
      <c r="L15" s="335">
        <v>96.16</v>
      </c>
      <c r="M15" s="335">
        <f>SUM(N15:O15)</f>
        <v>182.76999999999998</v>
      </c>
      <c r="N15" s="335">
        <v>89.77</v>
      </c>
      <c r="O15" s="335">
        <v>93</v>
      </c>
      <c r="P15" s="336">
        <f>M15/F15</f>
        <v>15.230833333333331</v>
      </c>
    </row>
    <row r="16" spans="1:16" s="53" customFormat="1" ht="16.5" customHeight="1">
      <c r="A16" s="331">
        <f t="shared" si="0"/>
        <v>11</v>
      </c>
      <c r="B16" s="331" t="s">
        <v>115</v>
      </c>
      <c r="C16" s="332" t="s">
        <v>28</v>
      </c>
      <c r="D16" s="333">
        <v>48</v>
      </c>
      <c r="E16" s="334" t="s">
        <v>17</v>
      </c>
      <c r="F16" s="334">
        <f>'[6]Реестр УК новый'!$G$41</f>
        <v>12</v>
      </c>
      <c r="G16" s="258">
        <f>H16+I16</f>
        <v>118.26</v>
      </c>
      <c r="H16" s="335">
        <v>54.2</v>
      </c>
      <c r="I16" s="335">
        <v>64.06</v>
      </c>
      <c r="J16" s="335">
        <f>SUM(K16:L16)</f>
        <v>144.82</v>
      </c>
      <c r="K16" s="335">
        <v>52.19</v>
      </c>
      <c r="L16" s="335">
        <v>92.63</v>
      </c>
      <c r="M16" s="335">
        <f>SUM(N16:O16)</f>
        <v>175.55</v>
      </c>
      <c r="N16" s="335">
        <v>62.32</v>
      </c>
      <c r="O16" s="335">
        <v>113.23</v>
      </c>
      <c r="P16" s="336">
        <f>M16/F16</f>
        <v>14.629166666666668</v>
      </c>
    </row>
    <row r="17" spans="1:16" s="53" customFormat="1" ht="16.5" customHeight="1">
      <c r="A17" s="331">
        <f t="shared" si="0"/>
        <v>12</v>
      </c>
      <c r="B17" s="331" t="s">
        <v>115</v>
      </c>
      <c r="C17" s="337" t="s">
        <v>71</v>
      </c>
      <c r="D17" s="334">
        <v>19</v>
      </c>
      <c r="E17" s="334" t="s">
        <v>17</v>
      </c>
      <c r="F17" s="334">
        <f>'[6]Реестр УК новый'!$G$239</f>
        <v>12</v>
      </c>
      <c r="G17" s="257">
        <f>H17+I17</f>
        <v>130.51</v>
      </c>
      <c r="H17" s="335">
        <v>42.56</v>
      </c>
      <c r="I17" s="335">
        <v>87.95</v>
      </c>
      <c r="J17" s="335">
        <f>SUM(K17:L17)</f>
        <v>154.01999999999998</v>
      </c>
      <c r="K17" s="335">
        <v>40.659999999999997</v>
      </c>
      <c r="L17" s="335">
        <v>113.36</v>
      </c>
      <c r="M17" s="335">
        <f>SUM(N17:O17)</f>
        <v>170.98999999999998</v>
      </c>
      <c r="N17" s="335">
        <v>41.07</v>
      </c>
      <c r="O17" s="335">
        <v>129.91999999999999</v>
      </c>
      <c r="P17" s="336">
        <f>M17/F17</f>
        <v>14.249166666666666</v>
      </c>
    </row>
    <row r="18" spans="1:16" s="53" customFormat="1" ht="16.5" customHeight="1">
      <c r="A18" s="331">
        <f t="shared" si="0"/>
        <v>13</v>
      </c>
      <c r="B18" s="331" t="s">
        <v>115</v>
      </c>
      <c r="C18" s="337" t="s">
        <v>90</v>
      </c>
      <c r="D18" s="334">
        <v>11</v>
      </c>
      <c r="E18" s="334"/>
      <c r="F18" s="334">
        <f>'[6]Реестр УК новый'!$G$327</f>
        <v>16</v>
      </c>
      <c r="G18" s="257">
        <f>H18+I18</f>
        <v>132.42000000000002</v>
      </c>
      <c r="H18" s="335">
        <v>92.73</v>
      </c>
      <c r="I18" s="335">
        <v>39.69</v>
      </c>
      <c r="J18" s="335">
        <f>SUM(K18:L18)</f>
        <v>157.88999999999999</v>
      </c>
      <c r="K18" s="335">
        <v>91.37</v>
      </c>
      <c r="L18" s="335">
        <v>66.52</v>
      </c>
      <c r="M18" s="335">
        <f>SUM(N18:O18)</f>
        <v>203.45</v>
      </c>
      <c r="N18" s="335">
        <v>92.71</v>
      </c>
      <c r="O18" s="335">
        <v>110.74</v>
      </c>
      <c r="P18" s="336">
        <f>M18/F18</f>
        <v>12.715624999999999</v>
      </c>
    </row>
    <row r="19" spans="1:16" s="53" customFormat="1" ht="16.5" customHeight="1">
      <c r="A19" s="331">
        <f t="shared" si="0"/>
        <v>14</v>
      </c>
      <c r="B19" s="331" t="s">
        <v>115</v>
      </c>
      <c r="C19" s="337" t="s">
        <v>71</v>
      </c>
      <c r="D19" s="334">
        <v>19</v>
      </c>
      <c r="E19" s="334"/>
      <c r="F19" s="334">
        <f>'[6]Реестр УК новый'!$G$233</f>
        <v>12</v>
      </c>
      <c r="G19" s="257">
        <f>H19+I19</f>
        <v>137.5</v>
      </c>
      <c r="H19" s="335">
        <v>54.95</v>
      </c>
      <c r="I19" s="335">
        <v>82.55</v>
      </c>
      <c r="J19" s="335">
        <f>SUM(K19:L19)</f>
        <v>173.48000000000002</v>
      </c>
      <c r="K19" s="335">
        <v>52.59</v>
      </c>
      <c r="L19" s="335">
        <v>120.89</v>
      </c>
      <c r="M19" s="335">
        <f>SUM(N19:O19)</f>
        <v>145.27000000000001</v>
      </c>
      <c r="N19" s="335">
        <v>48.99</v>
      </c>
      <c r="O19" s="335">
        <v>96.28</v>
      </c>
      <c r="P19" s="336">
        <f>M19/F19</f>
        <v>12.105833333333335</v>
      </c>
    </row>
    <row r="20" spans="1:16" s="53" customFormat="1" ht="16.5" customHeight="1">
      <c r="A20" s="331">
        <f t="shared" si="0"/>
        <v>15</v>
      </c>
      <c r="B20" s="331" t="s">
        <v>115</v>
      </c>
      <c r="C20" s="337" t="s">
        <v>120</v>
      </c>
      <c r="D20" s="334">
        <v>3</v>
      </c>
      <c r="E20" s="334"/>
      <c r="F20" s="334">
        <f>'[6]Реестр УК новый'!$G$337</f>
        <v>24</v>
      </c>
      <c r="G20" s="257">
        <f>H20+I20</f>
        <v>267.27999999999997</v>
      </c>
      <c r="H20" s="335">
        <v>90.12</v>
      </c>
      <c r="I20" s="335">
        <v>177.16</v>
      </c>
      <c r="J20" s="335">
        <f>SUM(K20:L20)</f>
        <v>281.89</v>
      </c>
      <c r="K20" s="335">
        <v>89.21</v>
      </c>
      <c r="L20" s="335">
        <v>192.68</v>
      </c>
      <c r="M20" s="335">
        <f>SUM(N20:O20)</f>
        <v>287.07</v>
      </c>
      <c r="N20" s="335">
        <v>78.08</v>
      </c>
      <c r="O20" s="335">
        <v>208.99</v>
      </c>
      <c r="P20" s="336">
        <f>M20/F20</f>
        <v>11.96125</v>
      </c>
    </row>
    <row r="21" spans="1:16" s="53" customFormat="1" ht="16.5" customHeight="1">
      <c r="A21" s="331">
        <f t="shared" si="0"/>
        <v>16</v>
      </c>
      <c r="B21" s="331" t="s">
        <v>115</v>
      </c>
      <c r="C21" s="337" t="s">
        <v>90</v>
      </c>
      <c r="D21" s="334">
        <v>7</v>
      </c>
      <c r="E21" s="334" t="s">
        <v>17</v>
      </c>
      <c r="F21" s="334">
        <f>'[6]Реестр УК новый'!$G$333</f>
        <v>12</v>
      </c>
      <c r="G21" s="257">
        <f>H21+I21</f>
        <v>141.03</v>
      </c>
      <c r="H21" s="335">
        <v>96.57</v>
      </c>
      <c r="I21" s="335">
        <v>44.46</v>
      </c>
      <c r="J21" s="335">
        <f>SUM(K21:L21)</f>
        <v>156.97999999999999</v>
      </c>
      <c r="K21" s="335">
        <v>95.75</v>
      </c>
      <c r="L21" s="335">
        <v>61.23</v>
      </c>
      <c r="M21" s="335">
        <f>SUM(N21:O21)</f>
        <v>140.88</v>
      </c>
      <c r="N21" s="335">
        <v>76.2</v>
      </c>
      <c r="O21" s="335">
        <v>64.680000000000007</v>
      </c>
      <c r="P21" s="336">
        <f>M21/F21</f>
        <v>11.74</v>
      </c>
    </row>
    <row r="22" spans="1:16" s="53" customFormat="1" ht="16.5" customHeight="1">
      <c r="A22" s="331">
        <f t="shared" si="0"/>
        <v>17</v>
      </c>
      <c r="B22" s="331" t="s">
        <v>115</v>
      </c>
      <c r="C22" s="337" t="s">
        <v>121</v>
      </c>
      <c r="D22" s="334">
        <v>1</v>
      </c>
      <c r="E22" s="334" t="s">
        <v>18</v>
      </c>
      <c r="F22" s="334">
        <f>'[6]Реестр УК новый'!$G$389</f>
        <v>8</v>
      </c>
      <c r="G22" s="257">
        <f>H22+I22</f>
        <v>84</v>
      </c>
      <c r="H22" s="335">
        <v>84</v>
      </c>
      <c r="I22" s="345"/>
      <c r="J22" s="335">
        <f>SUM(K22:L22)</f>
        <v>84.22</v>
      </c>
      <c r="K22" s="335">
        <v>84.22</v>
      </c>
      <c r="L22" s="345"/>
      <c r="M22" s="335">
        <f>SUM(N22:O22)</f>
        <v>92.15</v>
      </c>
      <c r="N22" s="335">
        <v>92.15</v>
      </c>
      <c r="O22" s="345"/>
      <c r="P22" s="336">
        <f>M22/F22</f>
        <v>11.518750000000001</v>
      </c>
    </row>
    <row r="23" spans="1:16" s="53" customFormat="1" ht="16.5" customHeight="1">
      <c r="A23" s="331">
        <f t="shared" si="0"/>
        <v>18</v>
      </c>
      <c r="B23" s="331" t="s">
        <v>115</v>
      </c>
      <c r="C23" s="337" t="s">
        <v>71</v>
      </c>
      <c r="D23" s="334">
        <v>17</v>
      </c>
      <c r="E23" s="334" t="s">
        <v>17</v>
      </c>
      <c r="F23" s="334">
        <f>'[6]Реестр УК новый'!$G$237</f>
        <v>12</v>
      </c>
      <c r="G23" s="257">
        <f>H23+I23</f>
        <v>129.13</v>
      </c>
      <c r="H23" s="335">
        <v>60.01</v>
      </c>
      <c r="I23" s="335">
        <v>69.12</v>
      </c>
      <c r="J23" s="335">
        <f>SUM(K23:L23)</f>
        <v>143.79</v>
      </c>
      <c r="K23" s="335">
        <v>58.1</v>
      </c>
      <c r="L23" s="335">
        <v>85.69</v>
      </c>
      <c r="M23" s="335">
        <f>SUM(N23:O23)</f>
        <v>135.42000000000002</v>
      </c>
      <c r="N23" s="335">
        <v>39.97</v>
      </c>
      <c r="O23" s="335">
        <v>95.45</v>
      </c>
      <c r="P23" s="336">
        <f>M23/F23</f>
        <v>11.285000000000002</v>
      </c>
    </row>
    <row r="24" spans="1:16" s="53" customFormat="1" ht="16.5" customHeight="1">
      <c r="A24" s="331">
        <f t="shared" si="0"/>
        <v>19</v>
      </c>
      <c r="B24" s="331" t="s">
        <v>115</v>
      </c>
      <c r="C24" s="337" t="s">
        <v>119</v>
      </c>
      <c r="D24" s="334">
        <v>2</v>
      </c>
      <c r="E24" s="334"/>
      <c r="F24" s="334">
        <f>'[6]Реестр УК новый'!$G$305</f>
        <v>24</v>
      </c>
      <c r="G24" s="257">
        <f>H24+I24</f>
        <v>333.47</v>
      </c>
      <c r="H24" s="335">
        <v>225.16</v>
      </c>
      <c r="I24" s="335">
        <v>108.31</v>
      </c>
      <c r="J24" s="335">
        <f>SUM(K24:L24)</f>
        <v>348.41</v>
      </c>
      <c r="K24" s="335">
        <v>224.87</v>
      </c>
      <c r="L24" s="335">
        <v>123.54</v>
      </c>
      <c r="M24" s="335">
        <f>SUM(N24:O24)</f>
        <v>270.58000000000004</v>
      </c>
      <c r="N24" s="335">
        <v>102.09</v>
      </c>
      <c r="O24" s="335">
        <v>168.49</v>
      </c>
      <c r="P24" s="336">
        <f>M24/F24</f>
        <v>11.274166666666668</v>
      </c>
    </row>
    <row r="25" spans="1:16" s="53" customFormat="1" ht="16.5" customHeight="1">
      <c r="A25" s="331">
        <f t="shared" si="0"/>
        <v>20</v>
      </c>
      <c r="B25" s="331" t="s">
        <v>115</v>
      </c>
      <c r="C25" s="332" t="s">
        <v>16</v>
      </c>
      <c r="D25" s="333">
        <v>48</v>
      </c>
      <c r="E25" s="334"/>
      <c r="F25" s="334">
        <f>'[6]Реестр УК новый'!$G$136</f>
        <v>12</v>
      </c>
      <c r="G25" s="257">
        <f>H25+I25</f>
        <v>110</v>
      </c>
      <c r="H25" s="335">
        <v>65.849999999999994</v>
      </c>
      <c r="I25" s="335">
        <v>44.15</v>
      </c>
      <c r="J25" s="335">
        <f>SUM(K25:L25)</f>
        <v>131.12</v>
      </c>
      <c r="K25" s="335">
        <v>61.58</v>
      </c>
      <c r="L25" s="335">
        <v>69.540000000000006</v>
      </c>
      <c r="M25" s="335">
        <f>SUM(N25:O25)</f>
        <v>135.07</v>
      </c>
      <c r="N25" s="335">
        <v>66.23</v>
      </c>
      <c r="O25" s="335">
        <v>68.84</v>
      </c>
      <c r="P25" s="336">
        <f>M25/F25</f>
        <v>11.255833333333333</v>
      </c>
    </row>
    <row r="26" spans="1:16" s="53" customFormat="1" ht="16.5" customHeight="1">
      <c r="A26" s="331">
        <f t="shared" si="0"/>
        <v>21</v>
      </c>
      <c r="B26" s="331" t="s">
        <v>115</v>
      </c>
      <c r="C26" s="337" t="s">
        <v>94</v>
      </c>
      <c r="D26" s="334">
        <v>41</v>
      </c>
      <c r="E26" s="334" t="s">
        <v>17</v>
      </c>
      <c r="F26" s="334">
        <f>'[6]Реестр УК новый'!$G$380</f>
        <v>12</v>
      </c>
      <c r="G26" s="257">
        <f>H26+I26</f>
        <v>111.22</v>
      </c>
      <c r="H26" s="335">
        <v>111.22</v>
      </c>
      <c r="I26" s="335"/>
      <c r="J26" s="335">
        <f>SUM(K26:L26)</f>
        <v>110.32</v>
      </c>
      <c r="K26" s="335">
        <v>110.32</v>
      </c>
      <c r="L26" s="335"/>
      <c r="M26" s="335">
        <f>SUM(N26:O26)</f>
        <v>130.18</v>
      </c>
      <c r="N26" s="335">
        <v>130.18</v>
      </c>
      <c r="O26" s="335"/>
      <c r="P26" s="336">
        <f>M26/F26</f>
        <v>10.848333333333334</v>
      </c>
    </row>
    <row r="27" spans="1:16" s="53" customFormat="1" ht="16.5" customHeight="1">
      <c r="A27" s="331">
        <f t="shared" si="0"/>
        <v>22</v>
      </c>
      <c r="B27" s="331" t="s">
        <v>115</v>
      </c>
      <c r="C27" s="332" t="s">
        <v>81</v>
      </c>
      <c r="D27" s="333">
        <v>8</v>
      </c>
      <c r="E27" s="334"/>
      <c r="F27" s="334">
        <f>'[6]Реестр УК новый'!$G$106</f>
        <v>12</v>
      </c>
      <c r="G27" s="257">
        <f>H27+I27</f>
        <v>87.11</v>
      </c>
      <c r="H27" s="335">
        <v>38.119999999999997</v>
      </c>
      <c r="I27" s="335">
        <v>48.99</v>
      </c>
      <c r="J27" s="335">
        <f>SUM(K27:L27)</f>
        <v>97.66</v>
      </c>
      <c r="K27" s="335">
        <v>35.21</v>
      </c>
      <c r="L27" s="335">
        <v>62.45</v>
      </c>
      <c r="M27" s="335">
        <f>SUM(N27:O27)</f>
        <v>128.44999999999999</v>
      </c>
      <c r="N27" s="335">
        <v>39.08</v>
      </c>
      <c r="O27" s="335">
        <v>89.37</v>
      </c>
      <c r="P27" s="336">
        <f>M27/F27</f>
        <v>10.704166666666666</v>
      </c>
    </row>
    <row r="28" spans="1:16" s="53" customFormat="1" ht="16.5" customHeight="1">
      <c r="A28" s="331">
        <f t="shared" si="0"/>
        <v>23</v>
      </c>
      <c r="B28" s="331" t="s">
        <v>115</v>
      </c>
      <c r="C28" s="337" t="s">
        <v>94</v>
      </c>
      <c r="D28" s="334">
        <v>47</v>
      </c>
      <c r="E28" s="334"/>
      <c r="F28" s="334">
        <f>'[6]Реестр УК новый'!$G$375</f>
        <v>12</v>
      </c>
      <c r="G28" s="257">
        <f>H28+I28</f>
        <v>84.66</v>
      </c>
      <c r="H28" s="335">
        <v>51.61</v>
      </c>
      <c r="I28" s="335">
        <v>33.049999999999997</v>
      </c>
      <c r="J28" s="335">
        <f>SUM(K28:L28)</f>
        <v>108.02000000000001</v>
      </c>
      <c r="K28" s="335">
        <v>51.82</v>
      </c>
      <c r="L28" s="335">
        <v>56.2</v>
      </c>
      <c r="M28" s="335">
        <f>SUM(N28:O28)</f>
        <v>128.4</v>
      </c>
      <c r="N28" s="335">
        <v>69.36</v>
      </c>
      <c r="O28" s="335">
        <v>59.04</v>
      </c>
      <c r="P28" s="336">
        <f>M28/F28</f>
        <v>10.700000000000001</v>
      </c>
    </row>
    <row r="29" spans="1:16" s="53" customFormat="1" ht="16.5" customHeight="1">
      <c r="A29" s="331">
        <f t="shared" si="0"/>
        <v>24</v>
      </c>
      <c r="B29" s="331" t="s">
        <v>115</v>
      </c>
      <c r="C29" s="332" t="s">
        <v>28</v>
      </c>
      <c r="D29" s="333">
        <v>46</v>
      </c>
      <c r="E29" s="334"/>
      <c r="F29" s="334">
        <f>'[6]Реестр УК новый'!$G$32</f>
        <v>12</v>
      </c>
      <c r="G29" s="258">
        <f>H29+I29</f>
        <v>85.77000000000001</v>
      </c>
      <c r="H29" s="335">
        <v>60.52</v>
      </c>
      <c r="I29" s="335">
        <v>25.25</v>
      </c>
      <c r="J29" s="335">
        <f>SUM(K29:L29)</f>
        <v>112.63999999999999</v>
      </c>
      <c r="K29" s="335">
        <v>58.16</v>
      </c>
      <c r="L29" s="335">
        <v>54.48</v>
      </c>
      <c r="M29" s="335">
        <f>SUM(N29:O29)</f>
        <v>119</v>
      </c>
      <c r="N29" s="335">
        <v>85</v>
      </c>
      <c r="O29" s="335">
        <v>34</v>
      </c>
      <c r="P29" s="336">
        <f>M29/F29</f>
        <v>9.9166666666666661</v>
      </c>
    </row>
    <row r="30" spans="1:16" s="53" customFormat="1" ht="16.5" customHeight="1">
      <c r="A30" s="331">
        <f t="shared" si="0"/>
        <v>25</v>
      </c>
      <c r="B30" s="331" t="s">
        <v>115</v>
      </c>
      <c r="C30" s="332" t="s">
        <v>16</v>
      </c>
      <c r="D30" s="333">
        <v>30</v>
      </c>
      <c r="E30" s="334"/>
      <c r="F30" s="334">
        <f>'[6]Реестр УК новый'!$G$125</f>
        <v>20</v>
      </c>
      <c r="G30" s="257">
        <f>H30+I30</f>
        <v>93.11</v>
      </c>
      <c r="H30" s="335">
        <v>30.29</v>
      </c>
      <c r="I30" s="335">
        <v>62.82</v>
      </c>
      <c r="J30" s="335">
        <f>SUM(K30:L30)</f>
        <v>110.09</v>
      </c>
      <c r="K30" s="335">
        <v>30.28</v>
      </c>
      <c r="L30" s="335">
        <v>79.81</v>
      </c>
      <c r="M30" s="335">
        <f>SUM(N30:O30)</f>
        <v>190</v>
      </c>
      <c r="N30" s="335">
        <v>55.09</v>
      </c>
      <c r="O30" s="335">
        <v>134.91</v>
      </c>
      <c r="P30" s="336">
        <f>M30/F30</f>
        <v>9.5</v>
      </c>
    </row>
    <row r="31" spans="1:16" s="53" customFormat="1" ht="16.5" customHeight="1">
      <c r="A31" s="331">
        <f t="shared" si="0"/>
        <v>26</v>
      </c>
      <c r="B31" s="331" t="s">
        <v>115</v>
      </c>
      <c r="C31" s="337" t="s">
        <v>71</v>
      </c>
      <c r="D31" s="334">
        <v>17</v>
      </c>
      <c r="E31" s="334"/>
      <c r="F31" s="334">
        <f>'[6]Реестр УК новый'!$G$232</f>
        <v>12</v>
      </c>
      <c r="G31" s="257">
        <f>H31+I31</f>
        <v>114.74000000000001</v>
      </c>
      <c r="H31" s="335">
        <v>52.85</v>
      </c>
      <c r="I31" s="335">
        <v>61.89</v>
      </c>
      <c r="J31" s="335">
        <f>SUM(K31:L31)</f>
        <v>143.74</v>
      </c>
      <c r="K31" s="335">
        <v>50.58</v>
      </c>
      <c r="L31" s="335">
        <v>93.16</v>
      </c>
      <c r="M31" s="335">
        <f>SUM(N31:O31)</f>
        <v>113.02</v>
      </c>
      <c r="N31" s="335">
        <v>32.08</v>
      </c>
      <c r="O31" s="335">
        <v>80.94</v>
      </c>
      <c r="P31" s="336">
        <f>M31/F31</f>
        <v>9.418333333333333</v>
      </c>
    </row>
    <row r="32" spans="1:16" s="53" customFormat="1" ht="16.5" customHeight="1">
      <c r="A32" s="331">
        <f t="shared" si="0"/>
        <v>27</v>
      </c>
      <c r="B32" s="331" t="s">
        <v>115</v>
      </c>
      <c r="C32" s="332" t="s">
        <v>81</v>
      </c>
      <c r="D32" s="333">
        <v>7</v>
      </c>
      <c r="E32" s="334"/>
      <c r="F32" s="334">
        <f>'[6]Реестр УК новый'!$G$105</f>
        <v>12</v>
      </c>
      <c r="G32" s="257">
        <f>H32+I32</f>
        <v>110.86</v>
      </c>
      <c r="H32" s="335">
        <v>109.64</v>
      </c>
      <c r="I32" s="335">
        <v>1.22</v>
      </c>
      <c r="J32" s="335">
        <f>SUM(K32:L32)</f>
        <v>110.08</v>
      </c>
      <c r="K32" s="335">
        <v>104.46</v>
      </c>
      <c r="L32" s="335">
        <v>5.62</v>
      </c>
      <c r="M32" s="335">
        <f>SUM(N32:O32)</f>
        <v>110.2</v>
      </c>
      <c r="N32" s="335">
        <v>105.76</v>
      </c>
      <c r="O32" s="335">
        <v>4.4400000000000004</v>
      </c>
      <c r="P32" s="336">
        <f>M32/F32</f>
        <v>9.1833333333333336</v>
      </c>
    </row>
    <row r="33" spans="1:16" s="53" customFormat="1" ht="16.5" customHeight="1">
      <c r="A33" s="331">
        <f t="shared" si="0"/>
        <v>28</v>
      </c>
      <c r="B33" s="331" t="s">
        <v>115</v>
      </c>
      <c r="C33" s="337" t="s">
        <v>94</v>
      </c>
      <c r="D33" s="334">
        <v>34</v>
      </c>
      <c r="E33" s="334"/>
      <c r="F33" s="334">
        <f>'[6]Реестр УК новый'!$G$366</f>
        <v>12</v>
      </c>
      <c r="G33" s="257">
        <f>H33+I33</f>
        <v>112.65</v>
      </c>
      <c r="H33" s="335">
        <v>69.14</v>
      </c>
      <c r="I33" s="335">
        <v>43.51</v>
      </c>
      <c r="J33" s="335">
        <f>SUM(K33:L33)</f>
        <v>129.53</v>
      </c>
      <c r="K33" s="335">
        <v>68.23</v>
      </c>
      <c r="L33" s="335">
        <v>61.3</v>
      </c>
      <c r="M33" s="335">
        <f>SUM(N33:O33)</f>
        <v>109.59</v>
      </c>
      <c r="N33" s="335">
        <v>42.01</v>
      </c>
      <c r="O33" s="335">
        <v>67.58</v>
      </c>
      <c r="P33" s="336">
        <f>M33/F33</f>
        <v>9.1325000000000003</v>
      </c>
    </row>
    <row r="34" spans="1:16" s="53" customFormat="1" ht="16.5" customHeight="1">
      <c r="A34" s="331">
        <f t="shared" si="0"/>
        <v>29</v>
      </c>
      <c r="B34" s="331" t="s">
        <v>115</v>
      </c>
      <c r="C34" s="337" t="s">
        <v>37</v>
      </c>
      <c r="D34" s="334">
        <v>8</v>
      </c>
      <c r="E34" s="334" t="s">
        <v>17</v>
      </c>
      <c r="F34" s="334">
        <f>'[6]Реестр УК новый'!$G$262</f>
        <v>72</v>
      </c>
      <c r="G34" s="257">
        <f>H34+I34</f>
        <v>988.14</v>
      </c>
      <c r="H34" s="335">
        <v>809.63</v>
      </c>
      <c r="I34" s="335">
        <v>178.51</v>
      </c>
      <c r="J34" s="335">
        <f>SUM(K34:L34)</f>
        <v>1010</v>
      </c>
      <c r="K34" s="335">
        <v>807.69</v>
      </c>
      <c r="L34" s="335">
        <v>202.31</v>
      </c>
      <c r="M34" s="335">
        <f>SUM(N34:O34)</f>
        <v>634.47</v>
      </c>
      <c r="N34" s="335">
        <v>436.67</v>
      </c>
      <c r="O34" s="335">
        <v>197.8</v>
      </c>
      <c r="P34" s="336">
        <f>M34/F34</f>
        <v>8.8120833333333337</v>
      </c>
    </row>
    <row r="35" spans="1:16" s="53" customFormat="1" ht="16.5" customHeight="1">
      <c r="A35" s="331">
        <f t="shared" si="0"/>
        <v>30</v>
      </c>
      <c r="B35" s="331" t="s">
        <v>115</v>
      </c>
      <c r="C35" s="332" t="s">
        <v>82</v>
      </c>
      <c r="D35" s="333">
        <v>2</v>
      </c>
      <c r="E35" s="334"/>
      <c r="F35" s="334">
        <f>'[6]Реестр УК новый'!$G$115</f>
        <v>8</v>
      </c>
      <c r="G35" s="257">
        <f>H35+I35</f>
        <v>53.56</v>
      </c>
      <c r="H35" s="335">
        <v>52.63</v>
      </c>
      <c r="I35" s="335">
        <v>0.93</v>
      </c>
      <c r="J35" s="335">
        <f>SUM(K35:L35)</f>
        <v>54.32</v>
      </c>
      <c r="K35" s="335">
        <v>50.36</v>
      </c>
      <c r="L35" s="335">
        <v>3.96</v>
      </c>
      <c r="M35" s="335">
        <f>SUM(N35:O35)</f>
        <v>65.63</v>
      </c>
      <c r="N35" s="335">
        <v>63.74</v>
      </c>
      <c r="O35" s="335">
        <v>1.89</v>
      </c>
      <c r="P35" s="336">
        <f>M35/F35</f>
        <v>8.2037499999999994</v>
      </c>
    </row>
    <row r="36" spans="1:16" s="53" customFormat="1" ht="16.5" customHeight="1">
      <c r="A36" s="331">
        <f t="shared" si="0"/>
        <v>31</v>
      </c>
      <c r="B36" s="331" t="s">
        <v>115</v>
      </c>
      <c r="C36" s="337" t="s">
        <v>90</v>
      </c>
      <c r="D36" s="334">
        <v>3</v>
      </c>
      <c r="E36" s="334"/>
      <c r="F36" s="334">
        <f>'[6]Реестр УК новый'!$G$322</f>
        <v>12</v>
      </c>
      <c r="G36" s="257">
        <f>H36+I36</f>
        <v>97.289999999999992</v>
      </c>
      <c r="H36" s="335">
        <v>79.739999999999995</v>
      </c>
      <c r="I36" s="335">
        <v>17.55</v>
      </c>
      <c r="J36" s="335">
        <f>SUM(K36:L36)</f>
        <v>110.97999999999999</v>
      </c>
      <c r="K36" s="335">
        <v>77.47</v>
      </c>
      <c r="L36" s="335">
        <v>33.51</v>
      </c>
      <c r="M36" s="335">
        <f>SUM(N36:O36)</f>
        <v>98.3</v>
      </c>
      <c r="N36" s="335">
        <v>43.26</v>
      </c>
      <c r="O36" s="335">
        <v>55.04</v>
      </c>
      <c r="P36" s="336">
        <f>M36/F36</f>
        <v>8.1916666666666664</v>
      </c>
    </row>
    <row r="37" spans="1:16" s="53" customFormat="1" ht="16.5" customHeight="1">
      <c r="A37" s="331">
        <f t="shared" si="0"/>
        <v>32</v>
      </c>
      <c r="B37" s="331" t="s">
        <v>115</v>
      </c>
      <c r="C37" s="337" t="s">
        <v>86</v>
      </c>
      <c r="D37" s="334">
        <v>17</v>
      </c>
      <c r="E37" s="334"/>
      <c r="F37" s="334">
        <f>'[6]Реестр УК новый'!$G$273</f>
        <v>12</v>
      </c>
      <c r="G37" s="257">
        <f>H37+I37</f>
        <v>65.239999999999995</v>
      </c>
      <c r="H37" s="335">
        <v>65.239999999999995</v>
      </c>
      <c r="I37" s="335"/>
      <c r="J37" s="335">
        <f>SUM(K37:L37)</f>
        <v>64.239999999999995</v>
      </c>
      <c r="K37" s="335">
        <v>64.239999999999995</v>
      </c>
      <c r="L37" s="335"/>
      <c r="M37" s="335">
        <f>SUM(N37:O37)</f>
        <v>95.74</v>
      </c>
      <c r="N37" s="335">
        <v>95.74</v>
      </c>
      <c r="O37" s="335"/>
      <c r="P37" s="336">
        <f>M37/F37</f>
        <v>7.9783333333333326</v>
      </c>
    </row>
    <row r="38" spans="1:16" s="53" customFormat="1" ht="16.5" customHeight="1">
      <c r="A38" s="331">
        <f t="shared" si="0"/>
        <v>33</v>
      </c>
      <c r="B38" s="331" t="s">
        <v>115</v>
      </c>
      <c r="C38" s="337" t="s">
        <v>94</v>
      </c>
      <c r="D38" s="334">
        <v>32</v>
      </c>
      <c r="E38" s="334"/>
      <c r="F38" s="334">
        <f>'[6]Реестр УК новый'!$G$364</f>
        <v>12</v>
      </c>
      <c r="G38" s="257">
        <f>H38+I38</f>
        <v>121.4</v>
      </c>
      <c r="H38" s="335">
        <v>65.58</v>
      </c>
      <c r="I38" s="335">
        <v>55.82</v>
      </c>
      <c r="J38" s="335">
        <f>SUM(K38:L38)</f>
        <v>131.19999999999999</v>
      </c>
      <c r="K38" s="335">
        <v>65.12</v>
      </c>
      <c r="L38" s="335">
        <v>66.08</v>
      </c>
      <c r="M38" s="335">
        <f>SUM(N38:O38)</f>
        <v>95.68</v>
      </c>
      <c r="N38" s="335">
        <v>44.47</v>
      </c>
      <c r="O38" s="335">
        <v>51.21</v>
      </c>
      <c r="P38" s="336">
        <f>M38/F38</f>
        <v>7.9733333333333336</v>
      </c>
    </row>
    <row r="39" spans="1:16" s="53" customFormat="1" ht="16.5" customHeight="1">
      <c r="A39" s="331">
        <f t="shared" si="0"/>
        <v>34</v>
      </c>
      <c r="B39" s="331" t="s">
        <v>115</v>
      </c>
      <c r="C39" s="332" t="s">
        <v>81</v>
      </c>
      <c r="D39" s="333">
        <v>3</v>
      </c>
      <c r="E39" s="334"/>
      <c r="F39" s="334">
        <f>'[6]Реестр УК новый'!$G$102</f>
        <v>12</v>
      </c>
      <c r="G39" s="257">
        <f>H39+I39</f>
        <v>106.28</v>
      </c>
      <c r="H39" s="335">
        <v>106.12</v>
      </c>
      <c r="I39" s="335">
        <v>0.16</v>
      </c>
      <c r="J39" s="335">
        <f>SUM(K39:L39)</f>
        <v>108.82</v>
      </c>
      <c r="K39" s="335">
        <v>106.21</v>
      </c>
      <c r="L39" s="335">
        <v>2.61</v>
      </c>
      <c r="M39" s="335">
        <f>SUM(N39:O39)</f>
        <v>90.67</v>
      </c>
      <c r="N39" s="335">
        <v>89.06</v>
      </c>
      <c r="O39" s="335">
        <v>1.61</v>
      </c>
      <c r="P39" s="336">
        <f>M39/F39</f>
        <v>7.5558333333333332</v>
      </c>
    </row>
    <row r="40" spans="1:16" s="53" customFormat="1" ht="16.5" customHeight="1">
      <c r="A40" s="331">
        <f t="shared" si="0"/>
        <v>35</v>
      </c>
      <c r="B40" s="331" t="s">
        <v>115</v>
      </c>
      <c r="C40" s="332" t="s">
        <v>16</v>
      </c>
      <c r="D40" s="333">
        <v>49</v>
      </c>
      <c r="E40" s="334" t="s">
        <v>17</v>
      </c>
      <c r="F40" s="334">
        <f>'[6]Реестр УК новый'!$G$154</f>
        <v>12</v>
      </c>
      <c r="G40" s="257">
        <f>H40+I40</f>
        <v>71.959999999999994</v>
      </c>
      <c r="H40" s="335">
        <v>71.959999999999994</v>
      </c>
      <c r="I40" s="335"/>
      <c r="J40" s="335">
        <f>SUM(K40:L40)</f>
        <v>69.69</v>
      </c>
      <c r="K40" s="335">
        <v>69.69</v>
      </c>
      <c r="L40" s="335"/>
      <c r="M40" s="335">
        <f>SUM(N40:O40)</f>
        <v>83.43</v>
      </c>
      <c r="N40" s="335">
        <v>83.43</v>
      </c>
      <c r="O40" s="335"/>
      <c r="P40" s="336">
        <f>M40/F40</f>
        <v>6.9525000000000006</v>
      </c>
    </row>
    <row r="41" spans="1:16" s="53" customFormat="1" ht="16.5" customHeight="1">
      <c r="A41" s="331">
        <f t="shared" si="0"/>
        <v>36</v>
      </c>
      <c r="B41" s="331" t="s">
        <v>115</v>
      </c>
      <c r="C41" s="337" t="s">
        <v>119</v>
      </c>
      <c r="D41" s="334">
        <v>3</v>
      </c>
      <c r="E41" s="334"/>
      <c r="F41" s="334">
        <f>'[6]Реестр УК новый'!$G$306</f>
        <v>8</v>
      </c>
      <c r="G41" s="257">
        <f>H41+I41</f>
        <v>49.279999999999994</v>
      </c>
      <c r="H41" s="335">
        <v>47.41</v>
      </c>
      <c r="I41" s="335">
        <v>1.87</v>
      </c>
      <c r="J41" s="335">
        <f>SUM(K41:L41)</f>
        <v>48.49</v>
      </c>
      <c r="K41" s="335">
        <v>46.14</v>
      </c>
      <c r="L41" s="335">
        <v>2.35</v>
      </c>
      <c r="M41" s="335">
        <f>SUM(N41:O41)</f>
        <v>53.099999999999994</v>
      </c>
      <c r="N41" s="335">
        <v>51.73</v>
      </c>
      <c r="O41" s="335">
        <v>1.37</v>
      </c>
      <c r="P41" s="336">
        <f>M41/F41</f>
        <v>6.6374999999999993</v>
      </c>
    </row>
    <row r="42" spans="1:16" s="53" customFormat="1" ht="16.5" customHeight="1">
      <c r="A42" s="331">
        <f t="shared" si="0"/>
        <v>37</v>
      </c>
      <c r="B42" s="331" t="s">
        <v>115</v>
      </c>
      <c r="C42" s="332" t="s">
        <v>47</v>
      </c>
      <c r="D42" s="333">
        <v>8</v>
      </c>
      <c r="E42" s="334"/>
      <c r="F42" s="334">
        <f>'[6]Реестр УК новый'!$G$173</f>
        <v>12</v>
      </c>
      <c r="G42" s="257">
        <f>H42+I42</f>
        <v>101.28</v>
      </c>
      <c r="H42" s="335">
        <v>101.28</v>
      </c>
      <c r="I42" s="335"/>
      <c r="J42" s="335">
        <f>SUM(K42:L42)</f>
        <v>99.82</v>
      </c>
      <c r="K42" s="335">
        <v>99.82</v>
      </c>
      <c r="L42" s="335"/>
      <c r="M42" s="335">
        <f>SUM(N42:O42)</f>
        <v>78.78</v>
      </c>
      <c r="N42" s="335">
        <v>78.78</v>
      </c>
      <c r="O42" s="335"/>
      <c r="P42" s="336">
        <f>M42/F42</f>
        <v>6.5650000000000004</v>
      </c>
    </row>
    <row r="43" spans="1:16" s="53" customFormat="1" ht="16.5" customHeight="1">
      <c r="A43" s="331">
        <f t="shared" si="0"/>
        <v>38</v>
      </c>
      <c r="B43" s="331" t="s">
        <v>115</v>
      </c>
      <c r="C43" s="332" t="s">
        <v>118</v>
      </c>
      <c r="D43" s="333">
        <v>1</v>
      </c>
      <c r="E43" s="334"/>
      <c r="F43" s="334">
        <f>'[6]Реестр УК новый'!$G$93</f>
        <v>8</v>
      </c>
      <c r="G43" s="257">
        <f>H43+I43</f>
        <v>43.58</v>
      </c>
      <c r="H43" s="335">
        <v>42.36</v>
      </c>
      <c r="I43" s="335">
        <v>1.22</v>
      </c>
      <c r="J43" s="335">
        <f>SUM(K43:L43)</f>
        <v>43.61</v>
      </c>
      <c r="K43" s="335">
        <v>39.630000000000003</v>
      </c>
      <c r="L43" s="335">
        <v>3.98</v>
      </c>
      <c r="M43" s="335">
        <f>SUM(N43:O43)</f>
        <v>51.39</v>
      </c>
      <c r="N43" s="335">
        <v>49.4</v>
      </c>
      <c r="O43" s="335">
        <v>1.99</v>
      </c>
      <c r="P43" s="336">
        <f>M43/F43</f>
        <v>6.4237500000000001</v>
      </c>
    </row>
    <row r="44" spans="1:16" s="53" customFormat="1" ht="16.5" customHeight="1">
      <c r="A44" s="331">
        <f t="shared" si="0"/>
        <v>39</v>
      </c>
      <c r="B44" s="331" t="s">
        <v>115</v>
      </c>
      <c r="C44" s="337" t="s">
        <v>94</v>
      </c>
      <c r="D44" s="334">
        <v>30</v>
      </c>
      <c r="E44" s="334"/>
      <c r="F44" s="334">
        <f>'[6]Реестр УК новый'!$G$363</f>
        <v>12</v>
      </c>
      <c r="G44" s="257">
        <f>H44+I44</f>
        <v>78.14</v>
      </c>
      <c r="H44" s="335">
        <v>78.14</v>
      </c>
      <c r="I44" s="335"/>
      <c r="J44" s="335">
        <f>SUM(K44:L44)</f>
        <v>77.41</v>
      </c>
      <c r="K44" s="335">
        <v>77.41</v>
      </c>
      <c r="L44" s="335"/>
      <c r="M44" s="335">
        <f>SUM(N44:O44)</f>
        <v>75.05</v>
      </c>
      <c r="N44" s="335">
        <v>75.05</v>
      </c>
      <c r="O44" s="335"/>
      <c r="P44" s="336">
        <f>M44/F44</f>
        <v>6.2541666666666664</v>
      </c>
    </row>
    <row r="45" spans="1:16" s="53" customFormat="1" ht="16.5" customHeight="1">
      <c r="A45" s="331">
        <f t="shared" si="0"/>
        <v>40</v>
      </c>
      <c r="B45" s="331" t="s">
        <v>115</v>
      </c>
      <c r="C45" s="337" t="s">
        <v>94</v>
      </c>
      <c r="D45" s="334">
        <v>18</v>
      </c>
      <c r="E45" s="334"/>
      <c r="F45" s="334">
        <f>'[6]Реестр УК новый'!$G$358</f>
        <v>12</v>
      </c>
      <c r="G45" s="257">
        <f>H45+I45</f>
        <v>81.42</v>
      </c>
      <c r="H45" s="335">
        <v>81.42</v>
      </c>
      <c r="I45" s="335"/>
      <c r="J45" s="335">
        <f>SUM(K45:L45)</f>
        <v>80.239999999999995</v>
      </c>
      <c r="K45" s="335">
        <v>80.239999999999995</v>
      </c>
      <c r="L45" s="335"/>
      <c r="M45" s="335">
        <f>SUM(N45:O45)</f>
        <v>74.58</v>
      </c>
      <c r="N45" s="335">
        <v>74.58</v>
      </c>
      <c r="O45" s="335"/>
      <c r="P45" s="336">
        <f>M45/F45</f>
        <v>6.2149999999999999</v>
      </c>
    </row>
    <row r="46" spans="1:16" s="53" customFormat="1" ht="16.5" customHeight="1">
      <c r="A46" s="331">
        <f t="shared" si="0"/>
        <v>41</v>
      </c>
      <c r="B46" s="331" t="s">
        <v>115</v>
      </c>
      <c r="C46" s="332" t="s">
        <v>16</v>
      </c>
      <c r="D46" s="333">
        <v>52</v>
      </c>
      <c r="E46" s="334" t="s">
        <v>18</v>
      </c>
      <c r="F46" s="334">
        <f>'[6]Реестр УК новый'!$G$156</f>
        <v>12</v>
      </c>
      <c r="G46" s="257">
        <f>H46+I46</f>
        <v>62.32</v>
      </c>
      <c r="H46" s="335">
        <v>62.32</v>
      </c>
      <c r="I46" s="335"/>
      <c r="J46" s="335">
        <f>SUM(K46:L46)</f>
        <v>60.23</v>
      </c>
      <c r="K46" s="335">
        <v>60.23</v>
      </c>
      <c r="L46" s="335"/>
      <c r="M46" s="335">
        <f>SUM(N46:O46)</f>
        <v>71.41</v>
      </c>
      <c r="N46" s="335">
        <v>71.41</v>
      </c>
      <c r="O46" s="335"/>
      <c r="P46" s="336">
        <f>M46/F46</f>
        <v>5.9508333333333328</v>
      </c>
    </row>
    <row r="47" spans="1:16" s="53" customFormat="1" ht="16.5" customHeight="1">
      <c r="A47" s="331">
        <f t="shared" si="0"/>
        <v>42</v>
      </c>
      <c r="B47" s="331" t="s">
        <v>115</v>
      </c>
      <c r="C47" s="337" t="s">
        <v>94</v>
      </c>
      <c r="D47" s="334">
        <v>37</v>
      </c>
      <c r="E47" s="334"/>
      <c r="F47" s="334">
        <f>'[6]Реестр УК новый'!$G$369</f>
        <v>12</v>
      </c>
      <c r="G47" s="257">
        <f>H47+I47</f>
        <v>65.349999999999994</v>
      </c>
      <c r="H47" s="335">
        <v>65.349999999999994</v>
      </c>
      <c r="I47" s="335"/>
      <c r="J47" s="335">
        <f>SUM(K47:L47)</f>
        <v>64.53</v>
      </c>
      <c r="K47" s="335">
        <v>64.53</v>
      </c>
      <c r="L47" s="335"/>
      <c r="M47" s="335">
        <f>SUM(N47:O47)</f>
        <v>70.23</v>
      </c>
      <c r="N47" s="335">
        <v>70.23</v>
      </c>
      <c r="O47" s="335"/>
      <c r="P47" s="336">
        <f>M47/F47</f>
        <v>5.8525</v>
      </c>
    </row>
    <row r="48" spans="1:16" s="53" customFormat="1" ht="16.5" customHeight="1">
      <c r="A48" s="331">
        <f t="shared" si="0"/>
        <v>43</v>
      </c>
      <c r="B48" s="331" t="s">
        <v>115</v>
      </c>
      <c r="C48" s="337" t="s">
        <v>35</v>
      </c>
      <c r="D48" s="334">
        <v>24</v>
      </c>
      <c r="E48" s="334" t="s">
        <v>17</v>
      </c>
      <c r="F48" s="334">
        <f>'[6]Реестр УК новый'!$G$257</f>
        <v>16</v>
      </c>
      <c r="G48" s="257">
        <f>H48+I48</f>
        <v>80.23</v>
      </c>
      <c r="H48" s="335">
        <v>80.23</v>
      </c>
      <c r="I48" s="335"/>
      <c r="J48" s="335">
        <f>SUM(K48:L48)</f>
        <v>80.23</v>
      </c>
      <c r="K48" s="335">
        <v>80.23</v>
      </c>
      <c r="L48" s="335"/>
      <c r="M48" s="335">
        <f>SUM(N48:O48)</f>
        <v>88.45</v>
      </c>
      <c r="N48" s="335">
        <v>88.45</v>
      </c>
      <c r="O48" s="335"/>
      <c r="P48" s="336">
        <f>M48/F48</f>
        <v>5.5281250000000002</v>
      </c>
    </row>
    <row r="49" spans="1:16" s="53" customFormat="1" ht="16.5" customHeight="1">
      <c r="A49" s="331">
        <f t="shared" si="0"/>
        <v>44</v>
      </c>
      <c r="B49" s="331" t="s">
        <v>115</v>
      </c>
      <c r="C49" s="332" t="s">
        <v>79</v>
      </c>
      <c r="D49" s="333">
        <v>28</v>
      </c>
      <c r="E49" s="334"/>
      <c r="F49" s="334">
        <f>'[6]Реестр УК новый'!$G$88</f>
        <v>8</v>
      </c>
      <c r="G49" s="257">
        <f>H49+I49</f>
        <v>36.489999999999995</v>
      </c>
      <c r="H49" s="335">
        <v>34.799999999999997</v>
      </c>
      <c r="I49" s="335">
        <v>1.69</v>
      </c>
      <c r="J49" s="335">
        <f>SUM(K49:L49)</f>
        <v>38.910000000000004</v>
      </c>
      <c r="K49" s="335">
        <v>33.950000000000003</v>
      </c>
      <c r="L49" s="335">
        <v>4.96</v>
      </c>
      <c r="M49" s="335">
        <f>SUM(N49:O49)</f>
        <v>43.25</v>
      </c>
      <c r="N49" s="335">
        <v>42.18</v>
      </c>
      <c r="O49" s="335">
        <v>1.07</v>
      </c>
      <c r="P49" s="336">
        <f>M49/F49</f>
        <v>5.40625</v>
      </c>
    </row>
    <row r="50" spans="1:16" s="53" customFormat="1" ht="16.5" customHeight="1">
      <c r="A50" s="331">
        <f t="shared" si="0"/>
        <v>45</v>
      </c>
      <c r="B50" s="331" t="s">
        <v>115</v>
      </c>
      <c r="C50" s="337" t="s">
        <v>94</v>
      </c>
      <c r="D50" s="334">
        <v>36</v>
      </c>
      <c r="E50" s="334"/>
      <c r="F50" s="334">
        <f>'[6]Реестр УК новый'!$G$368</f>
        <v>12</v>
      </c>
      <c r="G50" s="257">
        <f>H50+I50</f>
        <v>86.68</v>
      </c>
      <c r="H50" s="335">
        <v>86.68</v>
      </c>
      <c r="I50" s="335"/>
      <c r="J50" s="335">
        <f>SUM(K50:L50)</f>
        <v>87.86</v>
      </c>
      <c r="K50" s="335">
        <v>87.86</v>
      </c>
      <c r="L50" s="335"/>
      <c r="M50" s="335">
        <f>SUM(N50:O50)</f>
        <v>64.16</v>
      </c>
      <c r="N50" s="335">
        <v>64.16</v>
      </c>
      <c r="O50" s="335"/>
      <c r="P50" s="336">
        <f>M50/F50</f>
        <v>5.3466666666666667</v>
      </c>
    </row>
    <row r="51" spans="1:16" s="53" customFormat="1" ht="16.5" customHeight="1">
      <c r="A51" s="331">
        <f t="shared" si="0"/>
        <v>46</v>
      </c>
      <c r="B51" s="331" t="s">
        <v>115</v>
      </c>
      <c r="C51" s="332" t="s">
        <v>28</v>
      </c>
      <c r="D51" s="333">
        <v>48</v>
      </c>
      <c r="E51" s="334" t="s">
        <v>117</v>
      </c>
      <c r="F51" s="334">
        <f>'[6]Реестр УК новый'!$G$44</f>
        <v>12</v>
      </c>
      <c r="G51" s="257">
        <f>H51+I51</f>
        <v>33.21</v>
      </c>
      <c r="H51" s="335">
        <v>30.16</v>
      </c>
      <c r="I51" s="335">
        <v>3.05</v>
      </c>
      <c r="J51" s="335">
        <f>SUM(K51:L51)</f>
        <v>31.5</v>
      </c>
      <c r="K51" s="335">
        <v>27</v>
      </c>
      <c r="L51" s="335">
        <v>4.5</v>
      </c>
      <c r="M51" s="335">
        <f>SUM(N51:O51)</f>
        <v>59.34</v>
      </c>
      <c r="N51" s="335">
        <v>27.55</v>
      </c>
      <c r="O51" s="335">
        <v>31.79</v>
      </c>
      <c r="P51" s="336">
        <f>M51/F51</f>
        <v>4.9450000000000003</v>
      </c>
    </row>
    <row r="52" spans="1:16" s="53" customFormat="1" ht="16.5" customHeight="1">
      <c r="A52" s="331">
        <f t="shared" si="0"/>
        <v>47</v>
      </c>
      <c r="B52" s="331" t="s">
        <v>115</v>
      </c>
      <c r="C52" s="337" t="s">
        <v>90</v>
      </c>
      <c r="D52" s="334">
        <v>10</v>
      </c>
      <c r="E52" s="334"/>
      <c r="F52" s="334">
        <f>'[6]Реестр УК новый'!$G$326</f>
        <v>12</v>
      </c>
      <c r="G52" s="257">
        <f>H52+I52</f>
        <v>76.180000000000007</v>
      </c>
      <c r="H52" s="335">
        <v>76.180000000000007</v>
      </c>
      <c r="I52" s="335"/>
      <c r="J52" s="335">
        <f>SUM(K52:L52)</f>
        <v>75.81</v>
      </c>
      <c r="K52" s="335">
        <v>75.81</v>
      </c>
      <c r="L52" s="335"/>
      <c r="M52" s="335">
        <f>SUM(N52:O52)</f>
        <v>58.44</v>
      </c>
      <c r="N52" s="335">
        <v>58.44</v>
      </c>
      <c r="O52" s="335"/>
      <c r="P52" s="336">
        <f>M52/F52</f>
        <v>4.87</v>
      </c>
    </row>
    <row r="53" spans="1:16" s="53" customFormat="1" ht="16.5" customHeight="1">
      <c r="A53" s="331">
        <f t="shared" si="0"/>
        <v>48</v>
      </c>
      <c r="B53" s="331" t="s">
        <v>115</v>
      </c>
      <c r="C53" s="332" t="s">
        <v>118</v>
      </c>
      <c r="D53" s="333">
        <v>5</v>
      </c>
      <c r="E53" s="334"/>
      <c r="F53" s="334">
        <f>'[6]Реестр УК новый'!$G$94</f>
        <v>12</v>
      </c>
      <c r="G53" s="257">
        <f>H53+I53</f>
        <v>47.52</v>
      </c>
      <c r="H53" s="335">
        <v>47</v>
      </c>
      <c r="I53" s="335">
        <v>0.52</v>
      </c>
      <c r="J53" s="335">
        <f>SUM(K53:L53)</f>
        <v>49.52</v>
      </c>
      <c r="K53" s="335">
        <v>47</v>
      </c>
      <c r="L53" s="335">
        <v>2.52</v>
      </c>
      <c r="M53" s="335">
        <f>SUM(N53:O53)</f>
        <v>58.07</v>
      </c>
      <c r="N53" s="335">
        <v>56.22</v>
      </c>
      <c r="O53" s="335">
        <v>1.85</v>
      </c>
      <c r="P53" s="336">
        <f>M53/F53</f>
        <v>4.8391666666666664</v>
      </c>
    </row>
    <row r="54" spans="1:16" s="53" customFormat="1" ht="16.5" customHeight="1">
      <c r="A54" s="331">
        <f t="shared" si="0"/>
        <v>49</v>
      </c>
      <c r="B54" s="331" t="s">
        <v>115</v>
      </c>
      <c r="C54" s="337" t="s">
        <v>34</v>
      </c>
      <c r="D54" s="334">
        <v>31</v>
      </c>
      <c r="E54" s="334"/>
      <c r="F54" s="334">
        <f>'[6]Реестр УК новый'!$G$216</f>
        <v>16</v>
      </c>
      <c r="G54" s="257">
        <f>H54+I54</f>
        <v>58.23</v>
      </c>
      <c r="H54" s="335">
        <v>58.23</v>
      </c>
      <c r="I54" s="335"/>
      <c r="J54" s="335">
        <f>SUM(K54:L54)</f>
        <v>57.32</v>
      </c>
      <c r="K54" s="335">
        <v>57.32</v>
      </c>
      <c r="L54" s="335"/>
      <c r="M54" s="335">
        <f>SUM(N54:O54)</f>
        <v>77.37</v>
      </c>
      <c r="N54" s="335">
        <v>77.37</v>
      </c>
      <c r="O54" s="335"/>
      <c r="P54" s="336">
        <f>M54/F54</f>
        <v>4.8356250000000003</v>
      </c>
    </row>
    <row r="55" spans="1:16" s="53" customFormat="1" ht="16.5" customHeight="1">
      <c r="A55" s="331">
        <f t="shared" si="0"/>
        <v>50</v>
      </c>
      <c r="B55" s="331" t="s">
        <v>115</v>
      </c>
      <c r="C55" s="337" t="s">
        <v>34</v>
      </c>
      <c r="D55" s="334">
        <v>13</v>
      </c>
      <c r="E55" s="334"/>
      <c r="F55" s="334">
        <f>'[6]Реестр УК новый'!$G$209</f>
        <v>12</v>
      </c>
      <c r="G55" s="257">
        <f>H55+I55</f>
        <v>101.25</v>
      </c>
      <c r="H55" s="335">
        <v>101.25</v>
      </c>
      <c r="I55" s="335"/>
      <c r="J55" s="335">
        <f>SUM(K55:L55)</f>
        <v>100.52</v>
      </c>
      <c r="K55" s="335">
        <v>100.52</v>
      </c>
      <c r="L55" s="335"/>
      <c r="M55" s="335">
        <f>SUM(N55:O55)</f>
        <v>55.49</v>
      </c>
      <c r="N55" s="335">
        <v>55.49</v>
      </c>
      <c r="O55" s="335"/>
      <c r="P55" s="336">
        <f>M55/F55</f>
        <v>4.6241666666666665</v>
      </c>
    </row>
    <row r="56" spans="1:16" s="53" customFormat="1" ht="16.5" customHeight="1">
      <c r="A56" s="331">
        <f t="shared" si="0"/>
        <v>51</v>
      </c>
      <c r="B56" s="331" t="s">
        <v>115</v>
      </c>
      <c r="C56" s="332" t="s">
        <v>16</v>
      </c>
      <c r="D56" s="333">
        <v>54</v>
      </c>
      <c r="E56" s="334" t="s">
        <v>17</v>
      </c>
      <c r="F56" s="334">
        <f>'[6]Реестр УК новый'!$G$157</f>
        <v>12</v>
      </c>
      <c r="G56" s="257">
        <f>H56+I56</f>
        <v>63.63</v>
      </c>
      <c r="H56" s="335">
        <v>63.63</v>
      </c>
      <c r="I56" s="335"/>
      <c r="J56" s="335">
        <f>SUM(K56:L56)</f>
        <v>60.36</v>
      </c>
      <c r="K56" s="335">
        <v>60.36</v>
      </c>
      <c r="L56" s="335"/>
      <c r="M56" s="335">
        <f>SUM(N56:O56)</f>
        <v>52.45</v>
      </c>
      <c r="N56" s="335">
        <v>52.45</v>
      </c>
      <c r="O56" s="335"/>
      <c r="P56" s="336">
        <f>M56/F56</f>
        <v>4.3708333333333336</v>
      </c>
    </row>
    <row r="57" spans="1:16" s="53" customFormat="1" ht="16.5" customHeight="1">
      <c r="A57" s="331">
        <f t="shared" si="0"/>
        <v>52</v>
      </c>
      <c r="B57" s="331" t="s">
        <v>115</v>
      </c>
      <c r="C57" s="332" t="s">
        <v>118</v>
      </c>
      <c r="D57" s="333">
        <v>2</v>
      </c>
      <c r="E57" s="334"/>
      <c r="F57" s="334">
        <f>'[6]Реестр УК новый'!$G$95</f>
        <v>8</v>
      </c>
      <c r="G57" s="257">
        <f>H57+I57</f>
        <v>35.19</v>
      </c>
      <c r="H57" s="335">
        <v>35.19</v>
      </c>
      <c r="I57" s="335"/>
      <c r="J57" s="335">
        <f>SUM(K57:L57)</f>
        <v>32.909999999999997</v>
      </c>
      <c r="K57" s="335">
        <v>32.909999999999997</v>
      </c>
      <c r="L57" s="335"/>
      <c r="M57" s="335">
        <f>SUM(N57:O57)</f>
        <v>34.61</v>
      </c>
      <c r="N57" s="335">
        <v>34.61</v>
      </c>
      <c r="O57" s="335"/>
      <c r="P57" s="336">
        <f>M57/F57</f>
        <v>4.3262499999999999</v>
      </c>
    </row>
    <row r="58" spans="1:16" s="53" customFormat="1" ht="16.5" customHeight="1">
      <c r="A58" s="331">
        <f t="shared" si="0"/>
        <v>53</v>
      </c>
      <c r="B58" s="331" t="s">
        <v>115</v>
      </c>
      <c r="C58" s="337" t="s">
        <v>94</v>
      </c>
      <c r="D58" s="334">
        <v>18</v>
      </c>
      <c r="E58" s="334" t="s">
        <v>17</v>
      </c>
      <c r="F58" s="334">
        <f>'[6]Реестр УК новый'!$G$377</f>
        <v>12</v>
      </c>
      <c r="G58" s="257">
        <f>H58+I58</f>
        <v>62.68</v>
      </c>
      <c r="H58" s="335">
        <v>62.68</v>
      </c>
      <c r="I58" s="335"/>
      <c r="J58" s="335">
        <f>SUM(K58:L58)</f>
        <v>61.86</v>
      </c>
      <c r="K58" s="335">
        <v>61.86</v>
      </c>
      <c r="L58" s="335"/>
      <c r="M58" s="335">
        <f>SUM(N58:O58)</f>
        <v>47.29</v>
      </c>
      <c r="N58" s="335">
        <v>47.29</v>
      </c>
      <c r="O58" s="335"/>
      <c r="P58" s="336">
        <f>M58/F58</f>
        <v>3.9408333333333334</v>
      </c>
    </row>
    <row r="59" spans="1:16" s="53" customFormat="1" ht="16.5" customHeight="1">
      <c r="A59" s="331">
        <f t="shared" si="0"/>
        <v>54</v>
      </c>
      <c r="B59" s="331" t="s">
        <v>115</v>
      </c>
      <c r="C59" s="337" t="s">
        <v>35</v>
      </c>
      <c r="D59" s="334">
        <v>21</v>
      </c>
      <c r="E59" s="334"/>
      <c r="F59" s="334">
        <f>'[6]Реестр УК новый'!$G$250</f>
        <v>12</v>
      </c>
      <c r="G59" s="257">
        <f>H59+I59</f>
        <v>63.71</v>
      </c>
      <c r="H59" s="335">
        <v>63.71</v>
      </c>
      <c r="I59" s="335"/>
      <c r="J59" s="335">
        <f>SUM(K59:L59)</f>
        <v>60.17</v>
      </c>
      <c r="K59" s="335">
        <v>60.17</v>
      </c>
      <c r="L59" s="335"/>
      <c r="M59" s="335">
        <f>SUM(N59:O59)</f>
        <v>44.83</v>
      </c>
      <c r="N59" s="335">
        <v>44.83</v>
      </c>
      <c r="O59" s="335"/>
      <c r="P59" s="336">
        <f>M59/F59</f>
        <v>3.7358333333333333</v>
      </c>
    </row>
    <row r="60" spans="1:16" s="53" customFormat="1" ht="16.5" customHeight="1">
      <c r="A60" s="331">
        <f t="shared" si="0"/>
        <v>55</v>
      </c>
      <c r="B60" s="331" t="s">
        <v>115</v>
      </c>
      <c r="C60" s="337" t="s">
        <v>86</v>
      </c>
      <c r="D60" s="334">
        <v>21</v>
      </c>
      <c r="E60" s="334"/>
      <c r="F60" s="334">
        <f>'[6]Реестр УК новый'!$G$276</f>
        <v>12</v>
      </c>
      <c r="G60" s="257">
        <f>H60+I60</f>
        <v>49.03</v>
      </c>
      <c r="H60" s="335">
        <v>49.03</v>
      </c>
      <c r="I60" s="335"/>
      <c r="J60" s="335">
        <f>SUM(K60:L60)</f>
        <v>48.3</v>
      </c>
      <c r="K60" s="335">
        <v>48.3</v>
      </c>
      <c r="L60" s="335"/>
      <c r="M60" s="335">
        <f>SUM(N60:O60)</f>
        <v>44.28</v>
      </c>
      <c r="N60" s="335">
        <v>44.28</v>
      </c>
      <c r="O60" s="335"/>
      <c r="P60" s="336">
        <f>M60/F60</f>
        <v>3.69</v>
      </c>
    </row>
    <row r="61" spans="1:16" s="53" customFormat="1" ht="16.5" customHeight="1">
      <c r="A61" s="331">
        <f t="shared" si="0"/>
        <v>56</v>
      </c>
      <c r="B61" s="331" t="s">
        <v>115</v>
      </c>
      <c r="C61" s="337" t="s">
        <v>72</v>
      </c>
      <c r="D61" s="334">
        <v>10</v>
      </c>
      <c r="E61" s="334" t="s">
        <v>17</v>
      </c>
      <c r="F61" s="334">
        <f>'[6]Реестр УК новый'!$G$293</f>
        <v>12</v>
      </c>
      <c r="G61" s="257">
        <f>H61+I61</f>
        <v>52.42</v>
      </c>
      <c r="H61" s="335">
        <v>52.42</v>
      </c>
      <c r="I61" s="335"/>
      <c r="J61" s="335">
        <f>SUM(K61:L61)</f>
        <v>51.24</v>
      </c>
      <c r="K61" s="335">
        <v>51.24</v>
      </c>
      <c r="L61" s="335"/>
      <c r="M61" s="335">
        <f>SUM(N61:O61)</f>
        <v>43.57</v>
      </c>
      <c r="N61" s="335">
        <v>43.57</v>
      </c>
      <c r="O61" s="335"/>
      <c r="P61" s="336">
        <f>M61/F61</f>
        <v>3.6308333333333334</v>
      </c>
    </row>
    <row r="62" spans="1:16" s="53" customFormat="1" ht="16.5" customHeight="1">
      <c r="A62" s="331">
        <f t="shared" si="0"/>
        <v>57</v>
      </c>
      <c r="B62" s="331" t="s">
        <v>115</v>
      </c>
      <c r="C62" s="332" t="s">
        <v>28</v>
      </c>
      <c r="D62" s="333">
        <v>48</v>
      </c>
      <c r="E62" s="334" t="s">
        <v>116</v>
      </c>
      <c r="F62" s="334">
        <f>'[6]Реестр УК новый'!$G$45</f>
        <v>12</v>
      </c>
      <c r="G62" s="258">
        <f>H62+I62</f>
        <v>42.519999999999996</v>
      </c>
      <c r="H62" s="335">
        <v>35</v>
      </c>
      <c r="I62" s="335">
        <v>7.52</v>
      </c>
      <c r="J62" s="335">
        <f>SUM(K62:L62)</f>
        <v>43.16</v>
      </c>
      <c r="K62" s="335">
        <v>34</v>
      </c>
      <c r="L62" s="335">
        <v>9.16</v>
      </c>
      <c r="M62" s="335">
        <f>SUM(N62:O62)</f>
        <v>43</v>
      </c>
      <c r="N62" s="335">
        <v>39.270000000000003</v>
      </c>
      <c r="O62" s="335">
        <v>3.73</v>
      </c>
      <c r="P62" s="336">
        <f>M62/F62</f>
        <v>3.5833333333333335</v>
      </c>
    </row>
    <row r="63" spans="1:16" s="53" customFormat="1" ht="16.5" customHeight="1">
      <c r="A63" s="331">
        <f t="shared" si="0"/>
        <v>58</v>
      </c>
      <c r="B63" s="331" t="s">
        <v>115</v>
      </c>
      <c r="C63" s="337" t="s">
        <v>35</v>
      </c>
      <c r="D63" s="334">
        <v>15</v>
      </c>
      <c r="E63" s="334"/>
      <c r="F63" s="334">
        <f>'[6]Реестр УК новый'!$G$245</f>
        <v>12</v>
      </c>
      <c r="G63" s="257">
        <f>H63+I63</f>
        <v>43.35</v>
      </c>
      <c r="H63" s="335">
        <v>43.35</v>
      </c>
      <c r="I63" s="335"/>
      <c r="J63" s="335">
        <f>SUM(K63:L63)</f>
        <v>42.65</v>
      </c>
      <c r="K63" s="335">
        <v>42.65</v>
      </c>
      <c r="L63" s="335"/>
      <c r="M63" s="335">
        <f>SUM(N63:O63)</f>
        <v>41.07</v>
      </c>
      <c r="N63" s="335">
        <v>41.07</v>
      </c>
      <c r="O63" s="335"/>
      <c r="P63" s="336">
        <f>M63/F63</f>
        <v>3.4224999999999999</v>
      </c>
    </row>
    <row r="64" spans="1:16" s="53" customFormat="1" ht="16.5" customHeight="1">
      <c r="A64" s="331">
        <f t="shared" si="0"/>
        <v>59</v>
      </c>
      <c r="B64" s="331" t="s">
        <v>115</v>
      </c>
      <c r="C64" s="332" t="s">
        <v>51</v>
      </c>
      <c r="D64" s="333">
        <v>4</v>
      </c>
      <c r="E64" s="334"/>
      <c r="F64" s="334">
        <f>'[6]Реестр УК новый'!$G$185</f>
        <v>12</v>
      </c>
      <c r="G64" s="257">
        <f>H64+I64</f>
        <v>50</v>
      </c>
      <c r="H64" s="335">
        <v>50</v>
      </c>
      <c r="I64" s="335"/>
      <c r="J64" s="335">
        <f>SUM(K64:L64)</f>
        <v>49.23</v>
      </c>
      <c r="K64" s="335">
        <v>49.23</v>
      </c>
      <c r="L64" s="335"/>
      <c r="M64" s="335">
        <f>SUM(N64:O64)</f>
        <v>40.6</v>
      </c>
      <c r="N64" s="335">
        <v>40.6</v>
      </c>
      <c r="O64" s="335"/>
      <c r="P64" s="336">
        <f>M64/F64</f>
        <v>3.3833333333333333</v>
      </c>
    </row>
    <row r="65" spans="1:16" s="53" customFormat="1" ht="16.5" customHeight="1">
      <c r="A65" s="331">
        <f t="shared" si="0"/>
        <v>60</v>
      </c>
      <c r="B65" s="331" t="s">
        <v>115</v>
      </c>
      <c r="C65" s="337" t="s">
        <v>119</v>
      </c>
      <c r="D65" s="334">
        <v>10</v>
      </c>
      <c r="E65" s="334"/>
      <c r="F65" s="334">
        <f>'[6]Реестр УК новый'!$G$313</f>
        <v>12</v>
      </c>
      <c r="G65" s="257">
        <f>H65+I65</f>
        <v>48.14</v>
      </c>
      <c r="H65" s="335">
        <v>48.14</v>
      </c>
      <c r="I65" s="335"/>
      <c r="J65" s="335">
        <f>SUM(K65:L65)</f>
        <v>47.17</v>
      </c>
      <c r="K65" s="335">
        <v>47.17</v>
      </c>
      <c r="L65" s="335"/>
      <c r="M65" s="335">
        <f>SUM(N65:O65)</f>
        <v>39.909999999999997</v>
      </c>
      <c r="N65" s="335">
        <v>39.909999999999997</v>
      </c>
      <c r="O65" s="335"/>
      <c r="P65" s="336">
        <f>M65/F65</f>
        <v>3.3258333333333332</v>
      </c>
    </row>
    <row r="66" spans="1:16" s="53" customFormat="1" ht="16.5" customHeight="1">
      <c r="A66" s="331">
        <f t="shared" si="0"/>
        <v>61</v>
      </c>
      <c r="B66" s="331" t="s">
        <v>115</v>
      </c>
      <c r="C66" s="332" t="s">
        <v>51</v>
      </c>
      <c r="D66" s="333">
        <v>8</v>
      </c>
      <c r="E66" s="334" t="s">
        <v>17</v>
      </c>
      <c r="F66" s="334">
        <f>'[6]Реестр УК новый'!$G$198</f>
        <v>12</v>
      </c>
      <c r="G66" s="257">
        <f>H66+I66</f>
        <v>45.22</v>
      </c>
      <c r="H66" s="335">
        <v>45.22</v>
      </c>
      <c r="I66" s="335"/>
      <c r="J66" s="335">
        <f>SUM(K66:L66)</f>
        <v>42.35</v>
      </c>
      <c r="K66" s="335">
        <v>42.35</v>
      </c>
      <c r="L66" s="335"/>
      <c r="M66" s="335">
        <f>SUM(N66:O66)</f>
        <v>38.5</v>
      </c>
      <c r="N66" s="335">
        <v>38.5</v>
      </c>
      <c r="O66" s="335"/>
      <c r="P66" s="336">
        <f>M66/F66</f>
        <v>3.2083333333333335</v>
      </c>
    </row>
    <row r="67" spans="1:16" s="53" customFormat="1" ht="16.5" customHeight="1">
      <c r="A67" s="331">
        <f t="shared" si="0"/>
        <v>62</v>
      </c>
      <c r="B67" s="331" t="s">
        <v>115</v>
      </c>
      <c r="C67" s="332" t="s">
        <v>16</v>
      </c>
      <c r="D67" s="333">
        <v>56</v>
      </c>
      <c r="E67" s="334" t="s">
        <v>18</v>
      </c>
      <c r="F67" s="334">
        <f>'[6]Реестр УК новый'!$G$159</f>
        <v>12</v>
      </c>
      <c r="G67" s="257">
        <f>H67+I67</f>
        <v>45.02</v>
      </c>
      <c r="H67" s="335">
        <v>45.02</v>
      </c>
      <c r="I67" s="335"/>
      <c r="J67" s="335">
        <f>SUM(K67:L67)</f>
        <v>39.200000000000003</v>
      </c>
      <c r="K67" s="335">
        <v>39.200000000000003</v>
      </c>
      <c r="L67" s="335"/>
      <c r="M67" s="335">
        <f>SUM(N67:O67)</f>
        <v>37.96</v>
      </c>
      <c r="N67" s="335">
        <v>37.96</v>
      </c>
      <c r="O67" s="335"/>
      <c r="P67" s="336">
        <f>M67/F67</f>
        <v>3.1633333333333336</v>
      </c>
    </row>
    <row r="68" spans="1:16" s="53" customFormat="1" ht="16.5" customHeight="1">
      <c r="A68" s="331">
        <f t="shared" si="0"/>
        <v>63</v>
      </c>
      <c r="B68" s="331" t="s">
        <v>115</v>
      </c>
      <c r="C68" s="337" t="s">
        <v>35</v>
      </c>
      <c r="D68" s="334">
        <v>23</v>
      </c>
      <c r="E68" s="334"/>
      <c r="F68" s="334">
        <f>'[6]Реестр УК новый'!$G$251</f>
        <v>12</v>
      </c>
      <c r="G68" s="257">
        <f>H68+I68</f>
        <v>41</v>
      </c>
      <c r="H68" s="335">
        <v>41</v>
      </c>
      <c r="I68" s="335"/>
      <c r="J68" s="335">
        <f>SUM(K68:L68)</f>
        <v>39.619999999999997</v>
      </c>
      <c r="K68" s="335">
        <v>39.619999999999997</v>
      </c>
      <c r="L68" s="335"/>
      <c r="M68" s="335">
        <f>SUM(N68:O68)</f>
        <v>33.78</v>
      </c>
      <c r="N68" s="335">
        <v>33.78</v>
      </c>
      <c r="O68" s="335"/>
      <c r="P68" s="336">
        <f>M68/F68</f>
        <v>2.8149999999999999</v>
      </c>
    </row>
    <row r="69" spans="1:16" s="53" customFormat="1" ht="16.5" customHeight="1">
      <c r="A69" s="331">
        <f t="shared" si="0"/>
        <v>64</v>
      </c>
      <c r="B69" s="331" t="s">
        <v>115</v>
      </c>
      <c r="C69" s="337" t="s">
        <v>35</v>
      </c>
      <c r="D69" s="334">
        <v>16</v>
      </c>
      <c r="E69" s="334"/>
      <c r="F69" s="334">
        <f>'[6]Реестр УК новый'!$G$246</f>
        <v>12</v>
      </c>
      <c r="G69" s="257">
        <f>H69+I69</f>
        <v>40.47</v>
      </c>
      <c r="H69" s="335">
        <v>40.47</v>
      </c>
      <c r="I69" s="335"/>
      <c r="J69" s="335">
        <f>SUM(K69:L69)</f>
        <v>38.159999999999997</v>
      </c>
      <c r="K69" s="335">
        <v>38.159999999999997</v>
      </c>
      <c r="L69" s="335"/>
      <c r="M69" s="335">
        <f>SUM(N69:O69)</f>
        <v>33.340000000000003</v>
      </c>
      <c r="N69" s="335">
        <v>33.340000000000003</v>
      </c>
      <c r="O69" s="335"/>
      <c r="P69" s="336">
        <f>M69/F69</f>
        <v>2.7783333333333338</v>
      </c>
    </row>
    <row r="70" spans="1:16" s="53" customFormat="1" ht="16.5" customHeight="1">
      <c r="A70" s="331">
        <f t="shared" si="0"/>
        <v>65</v>
      </c>
      <c r="B70" s="331" t="s">
        <v>115</v>
      </c>
      <c r="C70" s="337" t="s">
        <v>34</v>
      </c>
      <c r="D70" s="334">
        <v>17</v>
      </c>
      <c r="E70" s="334"/>
      <c r="F70" s="334">
        <f>'[6]Реестр УК новый'!$G$211</f>
        <v>8</v>
      </c>
      <c r="G70" s="257">
        <f>H70+I70</f>
        <v>32</v>
      </c>
      <c r="H70" s="335">
        <v>32</v>
      </c>
      <c r="I70" s="335"/>
      <c r="J70" s="335">
        <f>SUM(K70:L70)</f>
        <v>28.16</v>
      </c>
      <c r="K70" s="335">
        <v>28.16</v>
      </c>
      <c r="L70" s="335"/>
      <c r="M70" s="335">
        <f>SUM(N70:O70)</f>
        <v>22.15</v>
      </c>
      <c r="N70" s="335">
        <v>22.15</v>
      </c>
      <c r="O70" s="335"/>
      <c r="P70" s="336">
        <f>M70/F70</f>
        <v>2.7687499999999998</v>
      </c>
    </row>
    <row r="71" spans="1:16" s="53" customFormat="1" ht="16.5" customHeight="1">
      <c r="A71" s="331">
        <f t="shared" si="0"/>
        <v>66</v>
      </c>
      <c r="B71" s="331" t="s">
        <v>115</v>
      </c>
      <c r="C71" s="337" t="s">
        <v>35</v>
      </c>
      <c r="D71" s="334">
        <v>19</v>
      </c>
      <c r="E71" s="334"/>
      <c r="F71" s="334">
        <f>'[6]Реестр УК новый'!$G$248</f>
        <v>12</v>
      </c>
      <c r="G71" s="257">
        <f>H71+I71</f>
        <v>26.15</v>
      </c>
      <c r="H71" s="335">
        <v>26.15</v>
      </c>
      <c r="I71" s="335"/>
      <c r="J71" s="335">
        <f>SUM(K71:L71)</f>
        <v>24.68</v>
      </c>
      <c r="K71" s="335">
        <v>24.68</v>
      </c>
      <c r="L71" s="335"/>
      <c r="M71" s="335">
        <f>SUM(N71:O71)</f>
        <v>32.42</v>
      </c>
      <c r="N71" s="335">
        <v>32.42</v>
      </c>
      <c r="O71" s="335"/>
      <c r="P71" s="336">
        <f>M71/F71</f>
        <v>2.7016666666666667</v>
      </c>
    </row>
    <row r="72" spans="1:16" s="53" customFormat="1" ht="16.5" customHeight="1">
      <c r="A72" s="331">
        <f t="shared" ref="A72:A73" si="1">A71+1</f>
        <v>67</v>
      </c>
      <c r="B72" s="331" t="s">
        <v>115</v>
      </c>
      <c r="C72" s="337" t="s">
        <v>86</v>
      </c>
      <c r="D72" s="334">
        <v>7</v>
      </c>
      <c r="E72" s="334"/>
      <c r="F72" s="334">
        <f>'[6]Реестр УК новый'!$G$268</f>
        <v>12</v>
      </c>
      <c r="G72" s="257">
        <f>H72+I72</f>
        <v>31.63</v>
      </c>
      <c r="H72" s="335">
        <v>31.63</v>
      </c>
      <c r="I72" s="338"/>
      <c r="J72" s="335">
        <f>SUM(K72:L72)</f>
        <v>30.36</v>
      </c>
      <c r="K72" s="335">
        <v>30.36</v>
      </c>
      <c r="L72" s="338"/>
      <c r="M72" s="335">
        <f>SUM(N72:O72)</f>
        <v>26.17</v>
      </c>
      <c r="N72" s="335">
        <v>26.17</v>
      </c>
      <c r="O72" s="338"/>
      <c r="P72" s="336">
        <f>M72/F72</f>
        <v>2.1808333333333336</v>
      </c>
    </row>
    <row r="73" spans="1:16" s="53" customFormat="1" ht="16.5" customHeight="1">
      <c r="A73" s="331">
        <f t="shared" si="1"/>
        <v>68</v>
      </c>
      <c r="B73" s="331" t="s">
        <v>115</v>
      </c>
      <c r="C73" s="337" t="s">
        <v>119</v>
      </c>
      <c r="D73" s="334">
        <v>8</v>
      </c>
      <c r="E73" s="334"/>
      <c r="F73" s="334">
        <f>'[6]Реестр УК новый'!$G$311</f>
        <v>12</v>
      </c>
      <c r="G73" s="257">
        <f>H73+I73</f>
        <v>69.349999999999994</v>
      </c>
      <c r="H73" s="335">
        <v>68.22</v>
      </c>
      <c r="I73" s="338">
        <v>1.1299999999999999</v>
      </c>
      <c r="J73" s="335">
        <f>SUM(K73:L73)</f>
        <v>72.63</v>
      </c>
      <c r="K73" s="335">
        <v>69.319999999999993</v>
      </c>
      <c r="L73" s="338">
        <v>3.31</v>
      </c>
      <c r="M73" s="335">
        <f>SUM(N73:O73)</f>
        <v>20.57</v>
      </c>
      <c r="N73" s="335">
        <v>16.940000000000001</v>
      </c>
      <c r="O73" s="338">
        <v>3.63</v>
      </c>
      <c r="P73" s="336">
        <f>M73/F73</f>
        <v>1.7141666666666666</v>
      </c>
    </row>
    <row r="74" spans="1:16" ht="16.5" customHeight="1">
      <c r="A74" s="259"/>
      <c r="B74" s="339" t="s">
        <v>8</v>
      </c>
      <c r="C74" s="340"/>
      <c r="D74" s="340"/>
      <c r="E74" s="340"/>
      <c r="F74" s="341">
        <f>SUM(F6:F73)</f>
        <v>907</v>
      </c>
      <c r="G74" s="342">
        <f t="shared" ref="G74:O74" si="2">SUM(G6:G73)</f>
        <v>7885.880000000001</v>
      </c>
      <c r="H74" s="342">
        <f t="shared" si="2"/>
        <v>5471.4700000000012</v>
      </c>
      <c r="I74" s="342">
        <f t="shared" si="2"/>
        <v>2414.41</v>
      </c>
      <c r="J74" s="343">
        <f>SUM(J6:J73)</f>
        <v>8361.0699999999943</v>
      </c>
      <c r="K74" s="343">
        <f t="shared" si="2"/>
        <v>5364.9099999999971</v>
      </c>
      <c r="L74" s="343">
        <f t="shared" si="2"/>
        <v>2996.1599999999994</v>
      </c>
      <c r="M74" s="343">
        <f>SUM(M6:M73)</f>
        <v>8267.2899999999972</v>
      </c>
      <c r="N74" s="343">
        <f t="shared" si="2"/>
        <v>4912.1399999999985</v>
      </c>
      <c r="O74" s="343">
        <f t="shared" si="2"/>
        <v>3355.1499999999992</v>
      </c>
      <c r="P74" s="340"/>
    </row>
    <row r="75" spans="1:16" s="79" customFormat="1" ht="16.5" customHeight="1">
      <c r="A75" s="232" t="s">
        <v>113</v>
      </c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</row>
    <row r="76" spans="1:16" ht="16.5" customHeight="1">
      <c r="A76" s="340">
        <v>1</v>
      </c>
      <c r="B76" s="331" t="s">
        <v>115</v>
      </c>
      <c r="C76" s="337" t="s">
        <v>71</v>
      </c>
      <c r="D76" s="331">
        <v>4</v>
      </c>
      <c r="E76" s="259"/>
      <c r="F76" s="259">
        <v>8</v>
      </c>
      <c r="G76" s="258">
        <f>SUM(H76:I76)</f>
        <v>60.32</v>
      </c>
      <c r="H76" s="344">
        <v>60.32</v>
      </c>
      <c r="I76" s="259" t="s">
        <v>131</v>
      </c>
      <c r="J76" s="259" t="s">
        <v>131</v>
      </c>
      <c r="K76" s="259" t="s">
        <v>131</v>
      </c>
      <c r="L76" s="259" t="s">
        <v>131</v>
      </c>
      <c r="M76" s="259" t="s">
        <v>131</v>
      </c>
      <c r="N76" s="259" t="s">
        <v>131</v>
      </c>
      <c r="O76" s="259" t="s">
        <v>131</v>
      </c>
      <c r="P76" s="259"/>
    </row>
    <row r="77" spans="1:16" ht="16.5" customHeight="1">
      <c r="A77" s="340">
        <v>2</v>
      </c>
      <c r="B77" s="331" t="s">
        <v>115</v>
      </c>
      <c r="C77" s="337" t="s">
        <v>35</v>
      </c>
      <c r="D77" s="331">
        <v>17</v>
      </c>
      <c r="E77" s="259"/>
      <c r="F77" s="259">
        <v>12</v>
      </c>
      <c r="G77" s="258">
        <f>SUM(H77:I77)</f>
        <v>38.28</v>
      </c>
      <c r="H77" s="344">
        <v>38.28</v>
      </c>
      <c r="I77" s="259" t="s">
        <v>131</v>
      </c>
      <c r="J77" s="259" t="s">
        <v>131</v>
      </c>
      <c r="K77" s="259" t="s">
        <v>131</v>
      </c>
      <c r="L77" s="259" t="s">
        <v>131</v>
      </c>
      <c r="M77" s="259" t="s">
        <v>131</v>
      </c>
      <c r="N77" s="259" t="s">
        <v>131</v>
      </c>
      <c r="O77" s="259" t="s">
        <v>131</v>
      </c>
      <c r="P77" s="259"/>
    </row>
    <row r="78" spans="1:16">
      <c r="A78" s="259"/>
      <c r="B78" s="339" t="s">
        <v>8</v>
      </c>
      <c r="C78" s="340"/>
      <c r="D78" s="340"/>
      <c r="E78" s="340"/>
      <c r="F78" s="341">
        <f>SUM(F76:F77)</f>
        <v>20</v>
      </c>
      <c r="G78" s="341">
        <f t="shared" ref="G78:O78" si="3">SUM(G76:G77)</f>
        <v>98.6</v>
      </c>
      <c r="H78" s="341">
        <f t="shared" si="3"/>
        <v>98.6</v>
      </c>
      <c r="I78" s="341">
        <f t="shared" si="3"/>
        <v>0</v>
      </c>
      <c r="J78" s="341">
        <f t="shared" si="3"/>
        <v>0</v>
      </c>
      <c r="K78" s="341">
        <f t="shared" si="3"/>
        <v>0</v>
      </c>
      <c r="L78" s="341">
        <f t="shared" si="3"/>
        <v>0</v>
      </c>
      <c r="M78" s="341">
        <f t="shared" si="3"/>
        <v>0</v>
      </c>
      <c r="N78" s="341">
        <f t="shared" si="3"/>
        <v>0</v>
      </c>
      <c r="O78" s="341">
        <f t="shared" si="3"/>
        <v>0</v>
      </c>
      <c r="P78" s="340"/>
    </row>
    <row r="80" spans="1:16" s="253" customFormat="1" ht="12.75">
      <c r="B80" s="254" t="s">
        <v>137</v>
      </c>
    </row>
    <row r="81" spans="2:31" s="253" customFormat="1" ht="44.25" customHeight="1">
      <c r="B81" s="175" t="s">
        <v>147</v>
      </c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</row>
  </sheetData>
  <sortState ref="C6:P73">
    <sortCondition descending="1" ref="P6:P73"/>
  </sortState>
  <mergeCells count="20">
    <mergeCell ref="E4:E5"/>
    <mergeCell ref="F3:F5"/>
    <mergeCell ref="J4:J5"/>
    <mergeCell ref="C1:O1"/>
    <mergeCell ref="B81:M81"/>
    <mergeCell ref="M3:O3"/>
    <mergeCell ref="M4:M5"/>
    <mergeCell ref="N4:O4"/>
    <mergeCell ref="A75:P75"/>
    <mergeCell ref="K4:L4"/>
    <mergeCell ref="P3:P5"/>
    <mergeCell ref="G3:I3"/>
    <mergeCell ref="G4:G5"/>
    <mergeCell ref="H4:I4"/>
    <mergeCell ref="A3:A5"/>
    <mergeCell ref="B3:B5"/>
    <mergeCell ref="C3:E3"/>
    <mergeCell ref="J3:L3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9"/>
  <sheetViews>
    <sheetView workbookViewId="0">
      <selection activeCell="J18" sqref="J18"/>
    </sheetView>
  </sheetViews>
  <sheetFormatPr defaultRowHeight="15"/>
  <cols>
    <col min="2" max="2" width="22.42578125" customWidth="1"/>
    <col min="3" max="3" width="14" customWidth="1"/>
  </cols>
  <sheetData>
    <row r="2" spans="1:10" ht="33.75" customHeight="1">
      <c r="B2" s="351" t="s">
        <v>10</v>
      </c>
      <c r="C2" s="351"/>
      <c r="D2" s="351"/>
      <c r="E2" s="351"/>
      <c r="F2" s="351"/>
      <c r="G2" s="351"/>
      <c r="H2" s="351"/>
      <c r="I2" s="351"/>
      <c r="J2" s="351"/>
    </row>
    <row r="4" spans="1:10">
      <c r="J4" t="s">
        <v>9</v>
      </c>
    </row>
    <row r="5" spans="1:10" ht="29.25" customHeight="1">
      <c r="A5" s="166" t="s">
        <v>0</v>
      </c>
      <c r="B5" s="166" t="s">
        <v>12</v>
      </c>
      <c r="C5" s="166" t="s">
        <v>1</v>
      </c>
      <c r="D5" s="166"/>
      <c r="E5" s="166"/>
      <c r="F5" s="184" t="s">
        <v>76</v>
      </c>
      <c r="G5" s="216" t="s">
        <v>134</v>
      </c>
      <c r="H5" s="217"/>
      <c r="I5" s="218"/>
      <c r="J5" s="161" t="s">
        <v>104</v>
      </c>
    </row>
    <row r="6" spans="1:10">
      <c r="A6" s="166"/>
      <c r="B6" s="166"/>
      <c r="C6" s="166" t="s">
        <v>2</v>
      </c>
      <c r="D6" s="166" t="s">
        <v>3</v>
      </c>
      <c r="E6" s="166" t="s">
        <v>4</v>
      </c>
      <c r="F6" s="185"/>
      <c r="G6" s="170" t="s">
        <v>5</v>
      </c>
      <c r="H6" s="171" t="s">
        <v>11</v>
      </c>
      <c r="I6" s="172"/>
      <c r="J6" s="162"/>
    </row>
    <row r="7" spans="1:10" ht="51">
      <c r="A7" s="184"/>
      <c r="B7" s="184"/>
      <c r="C7" s="184"/>
      <c r="D7" s="184"/>
      <c r="E7" s="184"/>
      <c r="F7" s="185"/>
      <c r="G7" s="215"/>
      <c r="H7" s="14" t="s">
        <v>6</v>
      </c>
      <c r="I7" s="14" t="s">
        <v>7</v>
      </c>
      <c r="J7" s="162"/>
    </row>
    <row r="8" spans="1:10">
      <c r="A8" s="111">
        <v>1</v>
      </c>
      <c r="B8" s="73" t="s">
        <v>135</v>
      </c>
      <c r="C8" s="73" t="s">
        <v>32</v>
      </c>
      <c r="D8" s="51">
        <v>23</v>
      </c>
      <c r="E8" s="1"/>
      <c r="F8" s="44">
        <v>12</v>
      </c>
      <c r="G8" s="142">
        <f>H8+I8</f>
        <v>31.47</v>
      </c>
      <c r="H8" s="143">
        <v>31.47</v>
      </c>
      <c r="I8" s="143">
        <v>0</v>
      </c>
      <c r="J8" s="74">
        <f>G8/F8</f>
        <v>2.6225000000000001</v>
      </c>
    </row>
    <row r="9" spans="1:10" s="140" customFormat="1">
      <c r="A9" s="52"/>
      <c r="B9" s="75" t="s">
        <v>8</v>
      </c>
      <c r="C9" s="52"/>
      <c r="D9" s="52"/>
      <c r="E9" s="52"/>
      <c r="F9" s="52">
        <f>SUM(F8)</f>
        <v>12</v>
      </c>
      <c r="G9" s="76">
        <f t="shared" ref="G9:I9" si="0">SUM(G8)</f>
        <v>31.47</v>
      </c>
      <c r="H9" s="76">
        <f t="shared" si="0"/>
        <v>31.47</v>
      </c>
      <c r="I9" s="76">
        <f t="shared" si="0"/>
        <v>0</v>
      </c>
      <c r="J9" s="52"/>
    </row>
  </sheetData>
  <mergeCells count="12">
    <mergeCell ref="E6:E7"/>
    <mergeCell ref="G6:G7"/>
    <mergeCell ref="H6:I6"/>
    <mergeCell ref="B2:J2"/>
    <mergeCell ref="A5:A7"/>
    <mergeCell ref="B5:B7"/>
    <mergeCell ref="C5:E5"/>
    <mergeCell ref="F5:F7"/>
    <mergeCell ref="G5:I5"/>
    <mergeCell ref="J5:J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9"/>
  <sheetViews>
    <sheetView zoomScaleSheetLayoutView="100" workbookViewId="0">
      <pane xSplit="5" ySplit="6" topLeftCell="F31" activePane="bottomRight" state="frozen"/>
      <selection pane="topRight" activeCell="F1" sqref="F1"/>
      <selection pane="bottomLeft" activeCell="A6" sqref="A6"/>
      <selection pane="bottomRight" activeCell="G60" sqref="G60"/>
    </sheetView>
  </sheetViews>
  <sheetFormatPr defaultRowHeight="15"/>
  <cols>
    <col min="1" max="1" width="5" customWidth="1"/>
    <col min="2" max="2" width="13.5703125" customWidth="1"/>
    <col min="3" max="3" width="14.5703125" customWidth="1"/>
    <col min="6" max="6" width="12.5703125" style="34" customWidth="1"/>
    <col min="7" max="16" width="12.85546875" customWidth="1"/>
  </cols>
  <sheetData>
    <row r="1" spans="1:16">
      <c r="C1" s="173" t="s">
        <v>10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ht="15" customHeight="1">
      <c r="G3" s="3"/>
      <c r="H3" s="3"/>
      <c r="I3" s="3"/>
      <c r="J3" s="3"/>
      <c r="K3" s="3"/>
      <c r="L3" s="3"/>
      <c r="M3" s="3"/>
      <c r="N3" s="3"/>
      <c r="O3" s="3"/>
      <c r="P3" s="3" t="s">
        <v>9</v>
      </c>
    </row>
    <row r="4" spans="1:16" ht="29.25" customHeight="1">
      <c r="A4" s="166" t="s">
        <v>0</v>
      </c>
      <c r="B4" s="166" t="s">
        <v>12</v>
      </c>
      <c r="C4" s="166" t="s">
        <v>1</v>
      </c>
      <c r="D4" s="166"/>
      <c r="E4" s="166"/>
      <c r="F4" s="167" t="s">
        <v>76</v>
      </c>
      <c r="G4" s="168" t="s">
        <v>132</v>
      </c>
      <c r="H4" s="168"/>
      <c r="I4" s="168"/>
      <c r="J4" s="168" t="s">
        <v>133</v>
      </c>
      <c r="K4" s="168"/>
      <c r="L4" s="168"/>
      <c r="M4" s="168" t="s">
        <v>134</v>
      </c>
      <c r="N4" s="168"/>
      <c r="O4" s="168"/>
      <c r="P4" s="161" t="s">
        <v>104</v>
      </c>
    </row>
    <row r="5" spans="1:16" ht="13.5" customHeight="1">
      <c r="A5" s="166"/>
      <c r="B5" s="166"/>
      <c r="C5" s="166" t="s">
        <v>2</v>
      </c>
      <c r="D5" s="166" t="s">
        <v>3</v>
      </c>
      <c r="E5" s="166" t="s">
        <v>4</v>
      </c>
      <c r="F5" s="167"/>
      <c r="G5" s="169" t="s">
        <v>5</v>
      </c>
      <c r="H5" s="171" t="s">
        <v>11</v>
      </c>
      <c r="I5" s="172"/>
      <c r="J5" s="169" t="s">
        <v>5</v>
      </c>
      <c r="K5" s="171" t="s">
        <v>11</v>
      </c>
      <c r="L5" s="172"/>
      <c r="M5" s="169" t="s">
        <v>5</v>
      </c>
      <c r="N5" s="171" t="s">
        <v>11</v>
      </c>
      <c r="O5" s="172"/>
      <c r="P5" s="162"/>
    </row>
    <row r="6" spans="1:16" ht="38.25">
      <c r="A6" s="166"/>
      <c r="B6" s="166"/>
      <c r="C6" s="166"/>
      <c r="D6" s="166"/>
      <c r="E6" s="166"/>
      <c r="F6" s="167"/>
      <c r="G6" s="170"/>
      <c r="H6" s="14" t="s">
        <v>6</v>
      </c>
      <c r="I6" s="14" t="s">
        <v>7</v>
      </c>
      <c r="J6" s="170"/>
      <c r="K6" s="14" t="s">
        <v>6</v>
      </c>
      <c r="L6" s="14" t="s">
        <v>7</v>
      </c>
      <c r="M6" s="170"/>
      <c r="N6" s="14" t="s">
        <v>6</v>
      </c>
      <c r="O6" s="14" t="s">
        <v>7</v>
      </c>
      <c r="P6" s="163"/>
    </row>
    <row r="7" spans="1:16">
      <c r="A7" s="2">
        <v>1</v>
      </c>
      <c r="B7" s="2" t="s">
        <v>13</v>
      </c>
      <c r="C7" s="226" t="s">
        <v>16</v>
      </c>
      <c r="D7" s="226">
        <v>21</v>
      </c>
      <c r="E7" s="226" t="s">
        <v>17</v>
      </c>
      <c r="F7" s="227">
        <v>98</v>
      </c>
      <c r="G7" s="4">
        <f>H7+I7</f>
        <v>4181.49</v>
      </c>
      <c r="H7" s="44">
        <f>1147.84+524</f>
        <v>1671.84</v>
      </c>
      <c r="I7" s="44">
        <f>1780.05+729.6</f>
        <v>2509.65</v>
      </c>
      <c r="J7" s="4">
        <f>K7+L7</f>
        <v>4617.5</v>
      </c>
      <c r="K7" s="1">
        <f>1696.92+200</f>
        <v>1896.92</v>
      </c>
      <c r="L7" s="1">
        <f>2220.58+500</f>
        <v>2720.58</v>
      </c>
      <c r="M7" s="228">
        <f>N7+O7</f>
        <v>4719.99</v>
      </c>
      <c r="N7" s="226">
        <v>1912.43</v>
      </c>
      <c r="O7" s="226">
        <v>2807.56</v>
      </c>
      <c r="P7" s="228">
        <f>M7/F7</f>
        <v>48.163163265306117</v>
      </c>
    </row>
    <row r="8" spans="1:16">
      <c r="A8" s="2">
        <f>A7+1</f>
        <v>2</v>
      </c>
      <c r="B8" s="2" t="s">
        <v>13</v>
      </c>
      <c r="C8" s="55" t="s">
        <v>14</v>
      </c>
      <c r="D8" s="55">
        <v>8</v>
      </c>
      <c r="E8" s="55"/>
      <c r="F8" s="35">
        <v>227</v>
      </c>
      <c r="G8" s="4">
        <f>H8+I8</f>
        <v>2955.95</v>
      </c>
      <c r="H8" s="44">
        <f>1320.58+10.2</f>
        <v>1330.78</v>
      </c>
      <c r="I8" s="44">
        <v>1625.17</v>
      </c>
      <c r="J8" s="4">
        <f>K8+L8</f>
        <v>3322.61</v>
      </c>
      <c r="K8" s="1">
        <f>1196.65+200</f>
        <v>1396.65</v>
      </c>
      <c r="L8" s="1">
        <f>1675.96+250</f>
        <v>1925.96</v>
      </c>
      <c r="M8" s="4">
        <f>N8+O8</f>
        <v>3640.8</v>
      </c>
      <c r="N8" s="148">
        <v>1437.4</v>
      </c>
      <c r="O8" s="148">
        <v>2203.4</v>
      </c>
      <c r="P8" s="5">
        <f>M8/F8</f>
        <v>16.038766519823788</v>
      </c>
    </row>
    <row r="9" spans="1:16">
      <c r="A9" s="67">
        <f t="shared" ref="A9:A45" si="0">A8+1</f>
        <v>3</v>
      </c>
      <c r="B9" s="2" t="s">
        <v>13</v>
      </c>
      <c r="C9" s="55" t="s">
        <v>14</v>
      </c>
      <c r="D9" s="55">
        <v>10</v>
      </c>
      <c r="E9" s="55"/>
      <c r="F9" s="35">
        <v>149</v>
      </c>
      <c r="G9" s="4">
        <f>H9+I9</f>
        <v>2877.74</v>
      </c>
      <c r="H9" s="44">
        <v>1343.79</v>
      </c>
      <c r="I9" s="44">
        <v>1533.95</v>
      </c>
      <c r="J9" s="4">
        <f>K9+L9</f>
        <v>3159.1099999999997</v>
      </c>
      <c r="K9" s="1">
        <f>1086.62+300</f>
        <v>1386.62</v>
      </c>
      <c r="L9" s="1">
        <f>1372.49+400</f>
        <v>1772.49</v>
      </c>
      <c r="M9" s="4">
        <f>N9+O9</f>
        <v>3383.75</v>
      </c>
      <c r="N9" s="148">
        <v>1460.2</v>
      </c>
      <c r="O9" s="148">
        <f>1959.4-35.85</f>
        <v>1923.5500000000002</v>
      </c>
      <c r="P9" s="5">
        <f>M9/F9</f>
        <v>22.709731543624162</v>
      </c>
    </row>
    <row r="10" spans="1:16">
      <c r="A10" s="67">
        <f t="shared" si="0"/>
        <v>4</v>
      </c>
      <c r="B10" s="2" t="s">
        <v>13</v>
      </c>
      <c r="C10" s="111" t="s">
        <v>20</v>
      </c>
      <c r="D10" s="111">
        <v>7</v>
      </c>
      <c r="E10" s="111"/>
      <c r="F10" s="49">
        <v>177</v>
      </c>
      <c r="G10" s="4">
        <f>H10+I10</f>
        <v>2771.4399999999996</v>
      </c>
      <c r="H10" s="44">
        <f>923.43+143</f>
        <v>1066.4299999999998</v>
      </c>
      <c r="I10" s="44">
        <f>1258.34+298.3+148.37</f>
        <v>1705.0099999999998</v>
      </c>
      <c r="J10" s="4">
        <f>K10+L10</f>
        <v>3090.7</v>
      </c>
      <c r="K10" s="1">
        <f>1081.47+88.14</f>
        <v>1169.6100000000001</v>
      </c>
      <c r="L10" s="1">
        <f>1914.05+7.04</f>
        <v>1921.09</v>
      </c>
      <c r="M10" s="4">
        <f>N10+O10</f>
        <v>3145.3500000000004</v>
      </c>
      <c r="N10" s="148">
        <f>1106.19+82.68</f>
        <v>1188.8700000000001</v>
      </c>
      <c r="O10" s="148">
        <v>1956.48</v>
      </c>
      <c r="P10" s="5">
        <f>M10/F10</f>
        <v>17.770338983050848</v>
      </c>
    </row>
    <row r="11" spans="1:16">
      <c r="A11" s="67">
        <f t="shared" si="0"/>
        <v>5</v>
      </c>
      <c r="B11" s="2" t="s">
        <v>13</v>
      </c>
      <c r="C11" s="37" t="s">
        <v>19</v>
      </c>
      <c r="D11" s="37">
        <v>14</v>
      </c>
      <c r="E11" s="37"/>
      <c r="F11" s="49">
        <v>96</v>
      </c>
      <c r="G11" s="4">
        <f>H11+I11</f>
        <v>2664.35</v>
      </c>
      <c r="H11" s="44">
        <f>792.15+154.1</f>
        <v>946.25</v>
      </c>
      <c r="I11" s="44">
        <f>1404.1+314</f>
        <v>1718.1</v>
      </c>
      <c r="J11" s="4">
        <f>K11+L11</f>
        <v>3027.06</v>
      </c>
      <c r="K11" s="1">
        <f>709.3+300</f>
        <v>1009.3</v>
      </c>
      <c r="L11" s="1">
        <f>1517.76+500</f>
        <v>2017.76</v>
      </c>
      <c r="M11" s="4">
        <f>N11+O11</f>
        <v>3102.3500000000004</v>
      </c>
      <c r="N11" s="148">
        <v>1030.76</v>
      </c>
      <c r="O11" s="148">
        <v>2071.59</v>
      </c>
      <c r="P11" s="5">
        <f>M11/F11</f>
        <v>32.316145833333337</v>
      </c>
    </row>
    <row r="12" spans="1:16">
      <c r="A12" s="67">
        <f t="shared" si="0"/>
        <v>6</v>
      </c>
      <c r="B12" s="2" t="s">
        <v>13</v>
      </c>
      <c r="C12" s="148" t="s">
        <v>16</v>
      </c>
      <c r="D12" s="148">
        <v>19</v>
      </c>
      <c r="E12" s="148"/>
      <c r="F12" s="35">
        <v>58</v>
      </c>
      <c r="G12" s="4">
        <f>H12+I12</f>
        <v>1402.99</v>
      </c>
      <c r="H12" s="44">
        <f>460.15+84.6</f>
        <v>544.75</v>
      </c>
      <c r="I12" s="44">
        <f>747.54+110.7</f>
        <v>858.24</v>
      </c>
      <c r="J12" s="4">
        <f>K12+L12</f>
        <v>1696.1999999999998</v>
      </c>
      <c r="K12" s="1">
        <f>522.42+80</f>
        <v>602.41999999999996</v>
      </c>
      <c r="L12" s="1">
        <f>793.78+300</f>
        <v>1093.78</v>
      </c>
      <c r="M12" s="4">
        <f>N12+O12</f>
        <v>1815.8300000000002</v>
      </c>
      <c r="N12" s="148">
        <v>672.2</v>
      </c>
      <c r="O12" s="148">
        <v>1143.6300000000001</v>
      </c>
      <c r="P12" s="5">
        <f>M12/F12</f>
        <v>31.30741379310345</v>
      </c>
    </row>
    <row r="13" spans="1:16">
      <c r="A13" s="67">
        <f t="shared" si="0"/>
        <v>7</v>
      </c>
      <c r="B13" s="2" t="s">
        <v>13</v>
      </c>
      <c r="C13" s="148" t="s">
        <v>15</v>
      </c>
      <c r="D13" s="148">
        <v>7</v>
      </c>
      <c r="E13" s="148"/>
      <c r="F13" s="35">
        <v>70</v>
      </c>
      <c r="G13" s="4">
        <f>H13+I13</f>
        <v>1262.6500000000001</v>
      </c>
      <c r="H13" s="44">
        <v>455.55</v>
      </c>
      <c r="I13" s="44">
        <v>807.1</v>
      </c>
      <c r="J13" s="4">
        <f>K13+L13</f>
        <v>1516.42</v>
      </c>
      <c r="K13" s="1">
        <v>527.92999999999995</v>
      </c>
      <c r="L13" s="1">
        <f>638.49+350</f>
        <v>988.49</v>
      </c>
      <c r="M13" s="4">
        <f>N13+O13</f>
        <v>1581.94</v>
      </c>
      <c r="N13" s="148">
        <v>550.05999999999995</v>
      </c>
      <c r="O13" s="148">
        <v>1031.8800000000001</v>
      </c>
      <c r="P13" s="5">
        <f>M13/F13</f>
        <v>22.599142857142859</v>
      </c>
    </row>
    <row r="14" spans="1:16">
      <c r="A14" s="67">
        <f t="shared" si="0"/>
        <v>8</v>
      </c>
      <c r="B14" s="2" t="s">
        <v>13</v>
      </c>
      <c r="C14" s="37" t="s">
        <v>16</v>
      </c>
      <c r="D14" s="37">
        <v>35</v>
      </c>
      <c r="E14" s="37" t="s">
        <v>18</v>
      </c>
      <c r="F14" s="49">
        <v>99</v>
      </c>
      <c r="G14" s="4">
        <f>H14+I14</f>
        <v>1130.6300000000001</v>
      </c>
      <c r="H14" s="44">
        <v>461.06</v>
      </c>
      <c r="I14" s="44">
        <v>669.57</v>
      </c>
      <c r="J14" s="4">
        <f>K14+L14</f>
        <v>1362.46</v>
      </c>
      <c r="K14" s="1">
        <v>477.02</v>
      </c>
      <c r="L14" s="1">
        <f>585.44+300</f>
        <v>885.44</v>
      </c>
      <c r="M14" s="4">
        <f>N14+O14</f>
        <v>1477.05</v>
      </c>
      <c r="N14" s="148">
        <v>527.75</v>
      </c>
      <c r="O14" s="148">
        <v>949.3</v>
      </c>
      <c r="P14" s="5">
        <f>M14/F14</f>
        <v>14.91969696969697</v>
      </c>
    </row>
    <row r="15" spans="1:16">
      <c r="A15" s="67">
        <f t="shared" si="0"/>
        <v>9</v>
      </c>
      <c r="B15" s="2" t="s">
        <v>13</v>
      </c>
      <c r="C15" s="37" t="s">
        <v>16</v>
      </c>
      <c r="D15" s="37">
        <v>33</v>
      </c>
      <c r="E15" s="37" t="s">
        <v>18</v>
      </c>
      <c r="F15" s="49">
        <v>79</v>
      </c>
      <c r="G15" s="4">
        <f>H15+I15</f>
        <v>986.9</v>
      </c>
      <c r="H15" s="44">
        <f>314.83+76.84</f>
        <v>391.66999999999996</v>
      </c>
      <c r="I15" s="44">
        <v>595.23</v>
      </c>
      <c r="J15" s="4">
        <f>K15+L15</f>
        <v>1236.18</v>
      </c>
      <c r="K15" s="1">
        <v>424.93</v>
      </c>
      <c r="L15" s="1">
        <f>461.25+350</f>
        <v>811.25</v>
      </c>
      <c r="M15" s="4">
        <f>N15+O15</f>
        <v>1349.05</v>
      </c>
      <c r="N15" s="148">
        <v>499.12</v>
      </c>
      <c r="O15" s="148">
        <v>849.93</v>
      </c>
      <c r="P15" s="5">
        <f>M15/F15</f>
        <v>17.076582278481013</v>
      </c>
    </row>
    <row r="16" spans="1:16" s="42" customFormat="1">
      <c r="A16" s="40"/>
      <c r="B16" s="40" t="s">
        <v>8</v>
      </c>
      <c r="C16" s="101"/>
      <c r="D16" s="101"/>
      <c r="E16" s="101"/>
      <c r="F16" s="106">
        <f>SUM(F7:F15)</f>
        <v>1053</v>
      </c>
      <c r="G16" s="103">
        <f t="shared" ref="G16:O16" si="1">SUM(G7:G15)</f>
        <v>20234.140000000003</v>
      </c>
      <c r="H16" s="103">
        <f t="shared" si="1"/>
        <v>8212.1200000000008</v>
      </c>
      <c r="I16" s="103">
        <f t="shared" si="1"/>
        <v>12022.019999999999</v>
      </c>
      <c r="J16" s="103">
        <f t="shared" si="1"/>
        <v>23028.240000000005</v>
      </c>
      <c r="K16" s="103">
        <f>SUM(K7:K15)</f>
        <v>8891.4000000000015</v>
      </c>
      <c r="L16" s="103">
        <f t="shared" si="1"/>
        <v>14136.84</v>
      </c>
      <c r="M16" s="103">
        <f>SUM(M7:M15)</f>
        <v>24216.11</v>
      </c>
      <c r="N16" s="103">
        <f t="shared" si="1"/>
        <v>9278.7900000000009</v>
      </c>
      <c r="O16" s="103">
        <f>SUM(O7:O15)</f>
        <v>14937.32</v>
      </c>
      <c r="P16" s="102"/>
    </row>
    <row r="17" spans="1:16">
      <c r="A17" s="164" t="s">
        <v>112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s="7" customFormat="1">
      <c r="A18" s="67">
        <v>1</v>
      </c>
      <c r="B18" s="6" t="s">
        <v>13</v>
      </c>
      <c r="C18" s="37" t="s">
        <v>21</v>
      </c>
      <c r="D18" s="37">
        <v>6</v>
      </c>
      <c r="E18" s="37"/>
      <c r="F18" s="49">
        <v>12</v>
      </c>
      <c r="G18" s="5">
        <f t="shared" ref="G18:G45" si="2">H18+I18</f>
        <v>107.4</v>
      </c>
      <c r="H18" s="6">
        <f>23.89+13.9</f>
        <v>37.79</v>
      </c>
      <c r="I18" s="6">
        <f>42.01+27.6</f>
        <v>69.61</v>
      </c>
      <c r="J18" s="5">
        <f t="shared" ref="J18:J45" si="3">K18+L18</f>
        <v>109.72999999999999</v>
      </c>
      <c r="K18" s="6">
        <v>39.04</v>
      </c>
      <c r="L18" s="6">
        <v>70.69</v>
      </c>
      <c r="M18" s="5">
        <f t="shared" ref="M18:M45" si="4">N18+O18</f>
        <v>104.21000000000001</v>
      </c>
      <c r="N18" s="6">
        <v>38.979999999999997</v>
      </c>
      <c r="O18" s="6">
        <v>65.23</v>
      </c>
      <c r="P18" s="5">
        <f>M18/F18</f>
        <v>8.6841666666666679</v>
      </c>
    </row>
    <row r="19" spans="1:16" s="7" customFormat="1">
      <c r="A19" s="67">
        <f t="shared" si="0"/>
        <v>2</v>
      </c>
      <c r="B19" s="6" t="s">
        <v>13</v>
      </c>
      <c r="C19" s="37" t="s">
        <v>22</v>
      </c>
      <c r="D19" s="37">
        <v>12</v>
      </c>
      <c r="E19" s="37"/>
      <c r="F19" s="49">
        <v>8</v>
      </c>
      <c r="G19" s="5">
        <f t="shared" si="2"/>
        <v>114.08999999999999</v>
      </c>
      <c r="H19" s="6">
        <f>10.24+102.8</f>
        <v>113.03999999999999</v>
      </c>
      <c r="I19" s="6">
        <f>0.25+0.8</f>
        <v>1.05</v>
      </c>
      <c r="J19" s="5">
        <f t="shared" si="3"/>
        <v>110.4</v>
      </c>
      <c r="K19" s="6">
        <v>109.34</v>
      </c>
      <c r="L19" s="6">
        <v>1.06</v>
      </c>
      <c r="M19" s="5">
        <f t="shared" si="4"/>
        <v>110.57</v>
      </c>
      <c r="N19" s="6">
        <v>109.5</v>
      </c>
      <c r="O19" s="6">
        <v>1.07</v>
      </c>
      <c r="P19" s="5">
        <f t="shared" ref="P19:P45" si="5">M19/F19</f>
        <v>13.821249999999999</v>
      </c>
    </row>
    <row r="20" spans="1:16" s="7" customFormat="1">
      <c r="A20" s="129">
        <f t="shared" si="0"/>
        <v>3</v>
      </c>
      <c r="B20" s="6" t="s">
        <v>13</v>
      </c>
      <c r="C20" s="37" t="s">
        <v>22</v>
      </c>
      <c r="D20" s="37">
        <v>14</v>
      </c>
      <c r="E20" s="37"/>
      <c r="F20" s="49">
        <v>8</v>
      </c>
      <c r="G20" s="5">
        <f t="shared" si="2"/>
        <v>39.379999999999995</v>
      </c>
      <c r="H20" s="6">
        <f>27.63+11.5</f>
        <v>39.129999999999995</v>
      </c>
      <c r="I20" s="6">
        <f>0.25</f>
        <v>0.25</v>
      </c>
      <c r="J20" s="5">
        <f t="shared" si="3"/>
        <v>41.360000000000007</v>
      </c>
      <c r="K20" s="6">
        <v>41.09</v>
      </c>
      <c r="L20" s="6">
        <v>0.27</v>
      </c>
      <c r="M20" s="5">
        <f t="shared" si="4"/>
        <v>41.83</v>
      </c>
      <c r="N20" s="6">
        <v>41.55</v>
      </c>
      <c r="O20" s="6">
        <v>0.28000000000000003</v>
      </c>
      <c r="P20" s="5">
        <f>M20/F20</f>
        <v>5.2287499999999998</v>
      </c>
    </row>
    <row r="21" spans="1:16">
      <c r="A21" s="129">
        <f t="shared" si="0"/>
        <v>4</v>
      </c>
      <c r="B21" s="2" t="s">
        <v>13</v>
      </c>
      <c r="C21" s="37" t="s">
        <v>38</v>
      </c>
      <c r="D21" s="37">
        <v>20</v>
      </c>
      <c r="E21" s="37"/>
      <c r="F21" s="49">
        <v>72</v>
      </c>
      <c r="G21" s="5">
        <f t="shared" si="2"/>
        <v>527.31999999999994</v>
      </c>
      <c r="H21" s="110">
        <f>49.85+171.2</f>
        <v>221.04999999999998</v>
      </c>
      <c r="I21" s="110">
        <f>88.67+217.6</f>
        <v>306.27</v>
      </c>
      <c r="J21" s="5">
        <f t="shared" si="3"/>
        <v>531.66</v>
      </c>
      <c r="K21" s="126">
        <v>222.17</v>
      </c>
      <c r="L21" s="126">
        <v>309.49</v>
      </c>
      <c r="M21" s="5">
        <f t="shared" si="4"/>
        <v>521.56999999999994</v>
      </c>
      <c r="N21" s="148">
        <v>219.5</v>
      </c>
      <c r="O21" s="148">
        <v>302.07</v>
      </c>
      <c r="P21" s="5">
        <f t="shared" si="5"/>
        <v>7.2440277777777773</v>
      </c>
    </row>
    <row r="22" spans="1:16" s="7" customFormat="1">
      <c r="A22" s="129">
        <f t="shared" si="0"/>
        <v>5</v>
      </c>
      <c r="B22" s="6" t="s">
        <v>13</v>
      </c>
      <c r="C22" s="37" t="s">
        <v>23</v>
      </c>
      <c r="D22" s="37">
        <v>3</v>
      </c>
      <c r="E22" s="37"/>
      <c r="F22" s="49">
        <v>8</v>
      </c>
      <c r="G22" s="5">
        <f t="shared" si="2"/>
        <v>17.739999999999998</v>
      </c>
      <c r="H22" s="6">
        <f>12.32+4.4</f>
        <v>16.72</v>
      </c>
      <c r="I22" s="6">
        <f>0.32+0.7</f>
        <v>1.02</v>
      </c>
      <c r="J22" s="5">
        <f t="shared" si="3"/>
        <v>18.55</v>
      </c>
      <c r="K22" s="6">
        <v>17.52</v>
      </c>
      <c r="L22" s="6">
        <v>1.03</v>
      </c>
      <c r="M22" s="5">
        <f t="shared" si="4"/>
        <v>19.45</v>
      </c>
      <c r="N22" s="6">
        <v>18.41</v>
      </c>
      <c r="O22" s="6">
        <v>1.04</v>
      </c>
      <c r="P22" s="5">
        <f t="shared" si="5"/>
        <v>2.4312499999999999</v>
      </c>
    </row>
    <row r="23" spans="1:16">
      <c r="A23" s="129">
        <f t="shared" si="0"/>
        <v>6</v>
      </c>
      <c r="B23" s="2" t="s">
        <v>13</v>
      </c>
      <c r="C23" s="37" t="s">
        <v>24</v>
      </c>
      <c r="D23" s="37">
        <v>20</v>
      </c>
      <c r="E23" s="37"/>
      <c r="F23" s="49">
        <v>24</v>
      </c>
      <c r="G23" s="5">
        <f t="shared" si="2"/>
        <v>170.3</v>
      </c>
      <c r="H23" s="110">
        <v>56.4</v>
      </c>
      <c r="I23" s="110">
        <v>113.9</v>
      </c>
      <c r="J23" s="5">
        <f t="shared" si="3"/>
        <v>158.19999999999999</v>
      </c>
      <c r="K23" s="126">
        <v>44.3</v>
      </c>
      <c r="L23" s="126">
        <v>113.9</v>
      </c>
      <c r="M23" s="5">
        <f t="shared" si="4"/>
        <v>170.3</v>
      </c>
      <c r="N23" s="148">
        <v>56.4</v>
      </c>
      <c r="O23" s="148">
        <v>113.9</v>
      </c>
      <c r="P23" s="5">
        <f t="shared" si="5"/>
        <v>7.0958333333333341</v>
      </c>
    </row>
    <row r="24" spans="1:16" s="7" customFormat="1">
      <c r="A24" s="129">
        <f t="shared" si="0"/>
        <v>7</v>
      </c>
      <c r="B24" s="6" t="s">
        <v>13</v>
      </c>
      <c r="C24" s="37" t="s">
        <v>25</v>
      </c>
      <c r="D24" s="37">
        <v>4</v>
      </c>
      <c r="E24" s="37"/>
      <c r="F24" s="49">
        <v>12</v>
      </c>
      <c r="G24" s="5">
        <f t="shared" si="2"/>
        <v>35.15</v>
      </c>
      <c r="H24" s="6">
        <f>6.15+29</f>
        <v>35.15</v>
      </c>
      <c r="I24" s="6">
        <v>0</v>
      </c>
      <c r="J24" s="5">
        <f t="shared" si="3"/>
        <v>35.89</v>
      </c>
      <c r="K24" s="6">
        <v>35.89</v>
      </c>
      <c r="L24" s="6">
        <v>0</v>
      </c>
      <c r="M24" s="5">
        <f t="shared" si="4"/>
        <v>35.99</v>
      </c>
      <c r="N24" s="6">
        <v>35.99</v>
      </c>
      <c r="O24" s="6">
        <v>0</v>
      </c>
      <c r="P24" s="5">
        <f>M24/F24</f>
        <v>2.999166666666667</v>
      </c>
    </row>
    <row r="25" spans="1:16" s="7" customFormat="1">
      <c r="A25" s="129">
        <f t="shared" si="0"/>
        <v>8</v>
      </c>
      <c r="B25" s="6" t="s">
        <v>13</v>
      </c>
      <c r="C25" s="37" t="s">
        <v>26</v>
      </c>
      <c r="D25" s="37">
        <v>32</v>
      </c>
      <c r="E25" s="37"/>
      <c r="F25" s="49">
        <v>22</v>
      </c>
      <c r="G25" s="5">
        <f t="shared" si="2"/>
        <v>269.94</v>
      </c>
      <c r="H25" s="6">
        <f>35.17+78.1</f>
        <v>113.27</v>
      </c>
      <c r="I25" s="6">
        <f>48.37+108.3</f>
        <v>156.66999999999999</v>
      </c>
      <c r="J25" s="5">
        <f t="shared" si="3"/>
        <v>254.21</v>
      </c>
      <c r="K25" s="6">
        <v>115.13</v>
      </c>
      <c r="L25" s="6">
        <v>139.08000000000001</v>
      </c>
      <c r="M25" s="5">
        <f t="shared" si="4"/>
        <v>267.20999999999998</v>
      </c>
      <c r="N25" s="6">
        <v>115.52</v>
      </c>
      <c r="O25" s="6">
        <v>151.69</v>
      </c>
      <c r="P25" s="5">
        <f t="shared" si="5"/>
        <v>12.14590909090909</v>
      </c>
    </row>
    <row r="26" spans="1:16" s="7" customFormat="1">
      <c r="A26" s="129">
        <f t="shared" si="0"/>
        <v>9</v>
      </c>
      <c r="B26" s="6" t="s">
        <v>13</v>
      </c>
      <c r="C26" s="37" t="s">
        <v>27</v>
      </c>
      <c r="D26" s="37">
        <v>1</v>
      </c>
      <c r="E26" s="37"/>
      <c r="F26" s="49">
        <v>12</v>
      </c>
      <c r="G26" s="5">
        <f t="shared" si="2"/>
        <v>221.62</v>
      </c>
      <c r="H26" s="6">
        <f>13.58+110.5</f>
        <v>124.08</v>
      </c>
      <c r="I26" s="6">
        <f>65.04+32.5</f>
        <v>97.54</v>
      </c>
      <c r="J26" s="5">
        <f t="shared" si="3"/>
        <v>164.52</v>
      </c>
      <c r="K26" s="6">
        <v>125.06</v>
      </c>
      <c r="L26" s="6">
        <v>39.46</v>
      </c>
      <c r="M26" s="5">
        <f t="shared" si="4"/>
        <v>184.44</v>
      </c>
      <c r="N26" s="6">
        <v>114.88</v>
      </c>
      <c r="O26" s="6">
        <v>69.56</v>
      </c>
      <c r="P26" s="5">
        <f t="shared" si="5"/>
        <v>15.37</v>
      </c>
    </row>
    <row r="27" spans="1:16" s="7" customFormat="1">
      <c r="A27" s="129">
        <f t="shared" si="0"/>
        <v>10</v>
      </c>
      <c r="B27" s="6" t="s">
        <v>13</v>
      </c>
      <c r="C27" s="37" t="s">
        <v>27</v>
      </c>
      <c r="D27" s="37">
        <v>3</v>
      </c>
      <c r="E27" s="37"/>
      <c r="F27" s="49">
        <v>12</v>
      </c>
      <c r="G27" s="5">
        <f t="shared" si="2"/>
        <v>33.21</v>
      </c>
      <c r="H27" s="6">
        <f>3.05+15.5</f>
        <v>18.55</v>
      </c>
      <c r="I27" s="6">
        <f>1.56+13.1</f>
        <v>14.66</v>
      </c>
      <c r="J27" s="5">
        <f t="shared" si="3"/>
        <v>33.51</v>
      </c>
      <c r="K27" s="6">
        <v>18.75</v>
      </c>
      <c r="L27" s="6">
        <v>14.76</v>
      </c>
      <c r="M27" s="5">
        <f t="shared" si="4"/>
        <v>32.29</v>
      </c>
      <c r="N27" s="6">
        <v>15.9</v>
      </c>
      <c r="O27" s="6">
        <v>16.39</v>
      </c>
      <c r="P27" s="5">
        <f>M27/F27</f>
        <v>2.6908333333333334</v>
      </c>
    </row>
    <row r="28" spans="1:16" s="7" customFormat="1">
      <c r="A28" s="129">
        <f t="shared" si="0"/>
        <v>11</v>
      </c>
      <c r="B28" s="6" t="s">
        <v>13</v>
      </c>
      <c r="C28" s="37" t="s">
        <v>27</v>
      </c>
      <c r="D28" s="37">
        <v>3</v>
      </c>
      <c r="E28" s="37" t="s">
        <v>18</v>
      </c>
      <c r="F28" s="49">
        <v>12</v>
      </c>
      <c r="G28" s="5">
        <f t="shared" si="2"/>
        <v>15.7</v>
      </c>
      <c r="H28" s="6">
        <f>8.18+1.8</f>
        <v>9.98</v>
      </c>
      <c r="I28" s="6">
        <f>5.12+0.6</f>
        <v>5.72</v>
      </c>
      <c r="J28" s="5">
        <f t="shared" si="3"/>
        <v>15.93</v>
      </c>
      <c r="K28" s="6">
        <v>10.16</v>
      </c>
      <c r="L28" s="6">
        <v>5.77</v>
      </c>
      <c r="M28" s="5">
        <f t="shared" si="4"/>
        <v>16.16</v>
      </c>
      <c r="N28" s="6">
        <v>10.3</v>
      </c>
      <c r="O28" s="6">
        <v>5.86</v>
      </c>
      <c r="P28" s="5">
        <f t="shared" si="5"/>
        <v>1.3466666666666667</v>
      </c>
    </row>
    <row r="29" spans="1:16">
      <c r="A29" s="129">
        <f t="shared" si="0"/>
        <v>12</v>
      </c>
      <c r="B29" s="2" t="s">
        <v>13</v>
      </c>
      <c r="C29" s="37" t="s">
        <v>27</v>
      </c>
      <c r="D29" s="37">
        <v>6</v>
      </c>
      <c r="E29" s="37"/>
      <c r="F29" s="49">
        <v>4</v>
      </c>
      <c r="G29" s="5">
        <f t="shared" si="2"/>
        <v>11.16</v>
      </c>
      <c r="H29" s="110">
        <f>10.72</f>
        <v>10.72</v>
      </c>
      <c r="I29" s="110">
        <f>0.14+0.3</f>
        <v>0.44</v>
      </c>
      <c r="J29" s="5">
        <f t="shared" si="3"/>
        <v>11.93</v>
      </c>
      <c r="K29" s="126">
        <v>11.48</v>
      </c>
      <c r="L29" s="126">
        <v>0.45</v>
      </c>
      <c r="M29" s="5">
        <f t="shared" si="4"/>
        <v>12.1</v>
      </c>
      <c r="N29" s="148">
        <v>11.65</v>
      </c>
      <c r="O29" s="148">
        <v>0.45</v>
      </c>
      <c r="P29" s="5">
        <f t="shared" si="5"/>
        <v>3.0249999999999999</v>
      </c>
    </row>
    <row r="30" spans="1:16" s="7" customFormat="1" ht="28.5" customHeight="1">
      <c r="A30" s="129">
        <f t="shared" si="0"/>
        <v>13</v>
      </c>
      <c r="B30" s="6" t="s">
        <v>13</v>
      </c>
      <c r="C30" s="37" t="s">
        <v>28</v>
      </c>
      <c r="D30" s="37">
        <v>5</v>
      </c>
      <c r="E30" s="37"/>
      <c r="F30" s="49">
        <v>15</v>
      </c>
      <c r="G30" s="5">
        <f t="shared" si="2"/>
        <v>46.01</v>
      </c>
      <c r="H30" s="6">
        <f>12.12</f>
        <v>12.12</v>
      </c>
      <c r="I30" s="6">
        <f>19.09+14.8</f>
        <v>33.89</v>
      </c>
      <c r="J30" s="5">
        <f t="shared" si="3"/>
        <v>48.03</v>
      </c>
      <c r="K30" s="6">
        <v>12.9</v>
      </c>
      <c r="L30" s="6">
        <v>35.130000000000003</v>
      </c>
      <c r="M30" s="5">
        <f t="shared" si="4"/>
        <v>49.92</v>
      </c>
      <c r="N30" s="6">
        <v>14.47</v>
      </c>
      <c r="O30" s="6">
        <v>35.450000000000003</v>
      </c>
      <c r="P30" s="5">
        <f t="shared" si="5"/>
        <v>3.3280000000000003</v>
      </c>
    </row>
    <row r="31" spans="1:16" s="9" customFormat="1" ht="35.25" customHeight="1">
      <c r="A31" s="129">
        <f t="shared" si="0"/>
        <v>14</v>
      </c>
      <c r="B31" s="8" t="s">
        <v>13</v>
      </c>
      <c r="C31" s="62" t="s">
        <v>28</v>
      </c>
      <c r="D31" s="62">
        <v>66</v>
      </c>
      <c r="E31" s="62" t="s">
        <v>17</v>
      </c>
      <c r="F31" s="63">
        <v>2</v>
      </c>
      <c r="G31" s="100">
        <f t="shared" si="2"/>
        <v>71.08</v>
      </c>
      <c r="H31" s="8">
        <f>20.4+50.1</f>
        <v>70.5</v>
      </c>
      <c r="I31" s="8">
        <f>0.18+0.4</f>
        <v>0.58000000000000007</v>
      </c>
      <c r="J31" s="100">
        <f t="shared" si="3"/>
        <v>71.09</v>
      </c>
      <c r="K31" s="8">
        <v>70.5</v>
      </c>
      <c r="L31" s="8">
        <v>0.59</v>
      </c>
      <c r="M31" s="100">
        <f t="shared" si="4"/>
        <v>72.86</v>
      </c>
      <c r="N31" s="8">
        <v>72.260000000000005</v>
      </c>
      <c r="O31" s="8">
        <v>0.6</v>
      </c>
      <c r="P31" s="5">
        <f t="shared" si="5"/>
        <v>36.43</v>
      </c>
    </row>
    <row r="32" spans="1:16">
      <c r="A32" s="129">
        <f t="shared" si="0"/>
        <v>15</v>
      </c>
      <c r="B32" s="2" t="s">
        <v>13</v>
      </c>
      <c r="C32" s="37" t="s">
        <v>29</v>
      </c>
      <c r="D32" s="37">
        <v>9</v>
      </c>
      <c r="E32" s="37"/>
      <c r="F32" s="49">
        <v>52</v>
      </c>
      <c r="G32" s="5">
        <f t="shared" si="2"/>
        <v>704.9</v>
      </c>
      <c r="H32" s="110">
        <v>189.9</v>
      </c>
      <c r="I32" s="110">
        <v>515</v>
      </c>
      <c r="J32" s="5">
        <f t="shared" si="3"/>
        <v>704.9</v>
      </c>
      <c r="K32" s="126">
        <v>189.9</v>
      </c>
      <c r="L32" s="126">
        <v>515</v>
      </c>
      <c r="M32" s="5">
        <f t="shared" si="4"/>
        <v>704.9</v>
      </c>
      <c r="N32" s="148">
        <v>189.9</v>
      </c>
      <c r="O32" s="148">
        <v>515</v>
      </c>
      <c r="P32" s="5">
        <f t="shared" si="5"/>
        <v>13.555769230769231</v>
      </c>
    </row>
    <row r="33" spans="1:19">
      <c r="A33" s="129">
        <f t="shared" si="0"/>
        <v>16</v>
      </c>
      <c r="B33" s="2" t="s">
        <v>13</v>
      </c>
      <c r="C33" s="37" t="s">
        <v>30</v>
      </c>
      <c r="D33" s="37">
        <v>25</v>
      </c>
      <c r="E33" s="37"/>
      <c r="F33" s="49">
        <v>8</v>
      </c>
      <c r="G33" s="5">
        <f t="shared" si="2"/>
        <v>13.8</v>
      </c>
      <c r="H33" s="110">
        <v>13.8</v>
      </c>
      <c r="I33" s="110">
        <v>0</v>
      </c>
      <c r="J33" s="5">
        <f t="shared" si="3"/>
        <v>13.8</v>
      </c>
      <c r="K33" s="126">
        <v>13.8</v>
      </c>
      <c r="L33" s="126">
        <v>0</v>
      </c>
      <c r="M33" s="5">
        <f t="shared" si="4"/>
        <v>13.8</v>
      </c>
      <c r="N33" s="148">
        <v>13.8</v>
      </c>
      <c r="O33" s="148">
        <v>0</v>
      </c>
      <c r="P33" s="5">
        <f t="shared" si="5"/>
        <v>1.7250000000000001</v>
      </c>
    </row>
    <row r="34" spans="1:19" s="7" customFormat="1">
      <c r="A34" s="129">
        <f t="shared" si="0"/>
        <v>17</v>
      </c>
      <c r="B34" s="6" t="s">
        <v>13</v>
      </c>
      <c r="C34" s="37" t="s">
        <v>31</v>
      </c>
      <c r="D34" s="37">
        <v>33</v>
      </c>
      <c r="E34" s="37"/>
      <c r="F34" s="49">
        <v>16</v>
      </c>
      <c r="G34" s="5">
        <f t="shared" si="2"/>
        <v>485.50000000000006</v>
      </c>
      <c r="H34" s="6">
        <f>69.73+137.8</f>
        <v>207.53000000000003</v>
      </c>
      <c r="I34" s="6">
        <f>83.07+194.9</f>
        <v>277.97000000000003</v>
      </c>
      <c r="J34" s="5">
        <f t="shared" si="3"/>
        <v>497.8</v>
      </c>
      <c r="K34" s="6">
        <v>213.12</v>
      </c>
      <c r="L34" s="6">
        <v>284.68</v>
      </c>
      <c r="M34" s="5">
        <f t="shared" si="4"/>
        <v>459.42</v>
      </c>
      <c r="N34" s="6">
        <v>177.55</v>
      </c>
      <c r="O34" s="6">
        <v>281.87</v>
      </c>
      <c r="P34" s="5">
        <f t="shared" si="5"/>
        <v>28.713750000000001</v>
      </c>
    </row>
    <row r="35" spans="1:19" s="7" customFormat="1">
      <c r="A35" s="129">
        <f t="shared" si="0"/>
        <v>18</v>
      </c>
      <c r="B35" s="6" t="s">
        <v>13</v>
      </c>
      <c r="C35" s="37" t="s">
        <v>31</v>
      </c>
      <c r="D35" s="37">
        <v>45</v>
      </c>
      <c r="E35" s="37"/>
      <c r="F35" s="49">
        <v>12</v>
      </c>
      <c r="G35" s="5">
        <f t="shared" si="2"/>
        <v>50.39</v>
      </c>
      <c r="H35" s="6">
        <f>11.64+32</f>
        <v>43.64</v>
      </c>
      <c r="I35" s="6">
        <f>1.75+5</f>
        <v>6.75</v>
      </c>
      <c r="J35" s="5">
        <f t="shared" si="3"/>
        <v>51.31</v>
      </c>
      <c r="K35" s="6">
        <v>44.45</v>
      </c>
      <c r="L35" s="6">
        <v>6.86</v>
      </c>
      <c r="M35" s="5">
        <f t="shared" si="4"/>
        <v>51.53</v>
      </c>
      <c r="N35" s="6">
        <v>44.64</v>
      </c>
      <c r="O35" s="6">
        <v>6.89</v>
      </c>
      <c r="P35" s="5">
        <f t="shared" si="5"/>
        <v>4.2941666666666665</v>
      </c>
    </row>
    <row r="36" spans="1:19">
      <c r="A36" s="129">
        <f t="shared" si="0"/>
        <v>19</v>
      </c>
      <c r="B36" s="2" t="s">
        <v>13</v>
      </c>
      <c r="C36" s="37" t="s">
        <v>32</v>
      </c>
      <c r="D36" s="37">
        <v>18</v>
      </c>
      <c r="E36" s="37"/>
      <c r="F36" s="49">
        <v>5</v>
      </c>
      <c r="G36" s="5">
        <f t="shared" si="2"/>
        <v>6.6999999999999993</v>
      </c>
      <c r="H36" s="110">
        <v>2.1</v>
      </c>
      <c r="I36" s="110">
        <v>4.5999999999999996</v>
      </c>
      <c r="J36" s="5">
        <f t="shared" si="3"/>
        <v>6.6999999999999993</v>
      </c>
      <c r="K36" s="126">
        <v>2.1</v>
      </c>
      <c r="L36" s="126">
        <v>4.5999999999999996</v>
      </c>
      <c r="M36" s="5">
        <f t="shared" si="4"/>
        <v>6.6999999999999993</v>
      </c>
      <c r="N36" s="148">
        <v>2.1</v>
      </c>
      <c r="O36" s="148">
        <v>4.5999999999999996</v>
      </c>
      <c r="P36" s="5">
        <f t="shared" si="5"/>
        <v>1.3399999999999999</v>
      </c>
    </row>
    <row r="37" spans="1:19" s="7" customFormat="1" ht="15" customHeight="1">
      <c r="A37" s="129">
        <f t="shared" si="0"/>
        <v>20</v>
      </c>
      <c r="B37" s="6" t="s">
        <v>13</v>
      </c>
      <c r="C37" s="37" t="s">
        <v>33</v>
      </c>
      <c r="D37" s="37">
        <v>30</v>
      </c>
      <c r="E37" s="37"/>
      <c r="F37" s="49">
        <v>19</v>
      </c>
      <c r="G37" s="5">
        <f t="shared" si="2"/>
        <v>431.86999999999995</v>
      </c>
      <c r="H37" s="6">
        <f>53.98+80.6</f>
        <v>134.57999999999998</v>
      </c>
      <c r="I37" s="6">
        <f>155.29+142</f>
        <v>297.28999999999996</v>
      </c>
      <c r="J37" s="5">
        <f t="shared" si="3"/>
        <v>458.99</v>
      </c>
      <c r="K37" s="6">
        <v>142.04</v>
      </c>
      <c r="L37" s="6">
        <v>316.95</v>
      </c>
      <c r="M37" s="5">
        <f t="shared" si="4"/>
        <v>458.87</v>
      </c>
      <c r="N37" s="6">
        <v>142.94</v>
      </c>
      <c r="O37" s="6">
        <v>315.93</v>
      </c>
      <c r="P37" s="5">
        <f t="shared" si="5"/>
        <v>24.151052631578949</v>
      </c>
    </row>
    <row r="38" spans="1:19" s="7" customFormat="1">
      <c r="A38" s="129">
        <f t="shared" si="0"/>
        <v>21</v>
      </c>
      <c r="B38" s="6" t="s">
        <v>13</v>
      </c>
      <c r="C38" s="37" t="s">
        <v>33</v>
      </c>
      <c r="D38" s="37">
        <v>32</v>
      </c>
      <c r="E38" s="37"/>
      <c r="F38" s="49">
        <v>12</v>
      </c>
      <c r="G38" s="5">
        <f t="shared" si="2"/>
        <v>100.59</v>
      </c>
      <c r="H38" s="6">
        <f>24.26+3</f>
        <v>27.26</v>
      </c>
      <c r="I38" s="6">
        <f>42.43+30.9</f>
        <v>73.33</v>
      </c>
      <c r="J38" s="5">
        <f t="shared" si="3"/>
        <v>80.39</v>
      </c>
      <c r="K38" s="6">
        <v>27.26</v>
      </c>
      <c r="L38" s="6">
        <v>53.13</v>
      </c>
      <c r="M38" s="5">
        <f t="shared" si="4"/>
        <v>53.53</v>
      </c>
      <c r="N38" s="6">
        <v>21.29</v>
      </c>
      <c r="O38" s="6">
        <v>32.24</v>
      </c>
      <c r="P38" s="5">
        <f t="shared" si="5"/>
        <v>4.4608333333333334</v>
      </c>
    </row>
    <row r="39" spans="1:19">
      <c r="A39" s="129">
        <f t="shared" si="0"/>
        <v>22</v>
      </c>
      <c r="B39" s="2" t="s">
        <v>13</v>
      </c>
      <c r="C39" s="37" t="s">
        <v>33</v>
      </c>
      <c r="D39" s="37">
        <v>44</v>
      </c>
      <c r="E39" s="37"/>
      <c r="F39" s="49">
        <v>11</v>
      </c>
      <c r="G39" s="5">
        <f t="shared" si="2"/>
        <v>13.3</v>
      </c>
      <c r="H39" s="110">
        <v>13.3</v>
      </c>
      <c r="I39" s="110">
        <v>0</v>
      </c>
      <c r="J39" s="5">
        <f t="shared" si="3"/>
        <v>13.3</v>
      </c>
      <c r="K39" s="126">
        <v>13.3</v>
      </c>
      <c r="L39" s="126">
        <v>0</v>
      </c>
      <c r="M39" s="5">
        <f t="shared" si="4"/>
        <v>13.3</v>
      </c>
      <c r="N39" s="148">
        <v>13.3</v>
      </c>
      <c r="O39" s="148">
        <v>0</v>
      </c>
      <c r="P39" s="5">
        <f t="shared" si="5"/>
        <v>1.2090909090909092</v>
      </c>
    </row>
    <row r="40" spans="1:19" s="7" customFormat="1">
      <c r="A40" s="129">
        <f t="shared" si="0"/>
        <v>23</v>
      </c>
      <c r="B40" s="6" t="s">
        <v>13</v>
      </c>
      <c r="C40" s="37" t="s">
        <v>35</v>
      </c>
      <c r="D40" s="37">
        <v>12</v>
      </c>
      <c r="E40" s="37"/>
      <c r="F40" s="49">
        <v>12</v>
      </c>
      <c r="G40" s="5">
        <f t="shared" si="2"/>
        <v>592.42999999999995</v>
      </c>
      <c r="H40" s="6">
        <f>85.44+37.1</f>
        <v>122.53999999999999</v>
      </c>
      <c r="I40" s="6">
        <f>277.49+192.4</f>
        <v>469.89</v>
      </c>
      <c r="J40" s="5">
        <f t="shared" si="3"/>
        <v>614.98</v>
      </c>
      <c r="K40" s="6">
        <v>132.21</v>
      </c>
      <c r="L40" s="6">
        <v>482.77</v>
      </c>
      <c r="M40" s="5">
        <f t="shared" si="4"/>
        <v>600.54999999999995</v>
      </c>
      <c r="N40" s="6">
        <v>132.24</v>
      </c>
      <c r="O40" s="6">
        <v>468.31</v>
      </c>
      <c r="P40" s="5">
        <f t="shared" si="5"/>
        <v>50.045833333333327</v>
      </c>
    </row>
    <row r="41" spans="1:19" s="7" customFormat="1">
      <c r="A41" s="129">
        <f t="shared" si="0"/>
        <v>24</v>
      </c>
      <c r="B41" s="6" t="s">
        <v>13</v>
      </c>
      <c r="C41" s="37" t="s">
        <v>35</v>
      </c>
      <c r="D41" s="37">
        <v>6</v>
      </c>
      <c r="E41" s="37"/>
      <c r="F41" s="49">
        <v>12</v>
      </c>
      <c r="G41" s="5">
        <f t="shared" si="2"/>
        <v>321.64999999999998</v>
      </c>
      <c r="H41" s="6">
        <f>68.05+42.5+7</f>
        <v>117.55</v>
      </c>
      <c r="I41" s="6">
        <f>110.3+93.8</f>
        <v>204.1</v>
      </c>
      <c r="J41" s="5">
        <f t="shared" si="3"/>
        <v>340.76</v>
      </c>
      <c r="K41" s="6">
        <v>124.94</v>
      </c>
      <c r="L41" s="6">
        <v>215.82</v>
      </c>
      <c r="M41" s="5">
        <f t="shared" si="4"/>
        <v>343.84</v>
      </c>
      <c r="N41" s="6">
        <v>126.08</v>
      </c>
      <c r="O41" s="6">
        <v>217.76</v>
      </c>
      <c r="P41" s="5">
        <f t="shared" si="5"/>
        <v>28.653333333333332</v>
      </c>
    </row>
    <row r="42" spans="1:19" s="7" customFormat="1" ht="21.75" customHeight="1">
      <c r="A42" s="129">
        <f t="shared" si="0"/>
        <v>25</v>
      </c>
      <c r="B42" s="6" t="s">
        <v>13</v>
      </c>
      <c r="C42" s="37" t="s">
        <v>36</v>
      </c>
      <c r="D42" s="37">
        <v>6</v>
      </c>
      <c r="E42" s="37"/>
      <c r="F42" s="49">
        <v>16</v>
      </c>
      <c r="G42" s="5">
        <f t="shared" si="2"/>
        <v>1057.29</v>
      </c>
      <c r="H42" s="6">
        <f>119.8+168.2</f>
        <v>288</v>
      </c>
      <c r="I42" s="6">
        <f>338.69+430.6</f>
        <v>769.29</v>
      </c>
      <c r="J42" s="5">
        <f t="shared" si="3"/>
        <v>1122.92</v>
      </c>
      <c r="K42" s="6">
        <v>297.22000000000003</v>
      </c>
      <c r="L42" s="6">
        <v>825.7</v>
      </c>
      <c r="M42" s="5">
        <f t="shared" si="4"/>
        <v>1115.9299999999998</v>
      </c>
      <c r="N42" s="6">
        <v>299.14</v>
      </c>
      <c r="O42" s="6">
        <v>816.79</v>
      </c>
      <c r="P42" s="5">
        <f t="shared" si="5"/>
        <v>69.74562499999999</v>
      </c>
    </row>
    <row r="43" spans="1:19" s="7" customFormat="1" ht="21" customHeight="1">
      <c r="A43" s="129">
        <f t="shared" si="0"/>
        <v>26</v>
      </c>
      <c r="B43" s="6" t="s">
        <v>13</v>
      </c>
      <c r="C43" s="37" t="s">
        <v>36</v>
      </c>
      <c r="D43" s="37">
        <v>8</v>
      </c>
      <c r="E43" s="37"/>
      <c r="F43" s="49">
        <v>12</v>
      </c>
      <c r="G43" s="5">
        <f t="shared" si="2"/>
        <v>175.34</v>
      </c>
      <c r="H43" s="6">
        <f>23.28+21.5</f>
        <v>44.78</v>
      </c>
      <c r="I43" s="6">
        <f>49.56+81</f>
        <v>130.56</v>
      </c>
      <c r="J43" s="5">
        <f t="shared" si="3"/>
        <v>178.6</v>
      </c>
      <c r="K43" s="6">
        <v>48.63</v>
      </c>
      <c r="L43" s="6">
        <v>129.97</v>
      </c>
      <c r="M43" s="5">
        <f t="shared" si="4"/>
        <v>168.52</v>
      </c>
      <c r="N43" s="6">
        <v>49.02</v>
      </c>
      <c r="O43" s="6">
        <v>119.5</v>
      </c>
      <c r="P43" s="5">
        <f t="shared" si="5"/>
        <v>14.043333333333335</v>
      </c>
    </row>
    <row r="44" spans="1:19">
      <c r="A44" s="129">
        <f t="shared" si="0"/>
        <v>27</v>
      </c>
      <c r="B44" s="2" t="s">
        <v>13</v>
      </c>
      <c r="C44" s="37" t="s">
        <v>28</v>
      </c>
      <c r="D44" s="37">
        <v>43</v>
      </c>
      <c r="E44" s="37" t="s">
        <v>17</v>
      </c>
      <c r="F44" s="49">
        <v>12</v>
      </c>
      <c r="G44" s="5">
        <f t="shared" si="2"/>
        <v>31.1</v>
      </c>
      <c r="H44" s="110">
        <v>13.5</v>
      </c>
      <c r="I44" s="110">
        <v>17.600000000000001</v>
      </c>
      <c r="J44" s="5">
        <f t="shared" si="3"/>
        <v>31.1</v>
      </c>
      <c r="K44" s="126">
        <v>13.5</v>
      </c>
      <c r="L44" s="126">
        <v>17.600000000000001</v>
      </c>
      <c r="M44" s="5">
        <f t="shared" si="4"/>
        <v>31.1</v>
      </c>
      <c r="N44" s="148">
        <v>13.5</v>
      </c>
      <c r="O44" s="148">
        <v>17.600000000000001</v>
      </c>
      <c r="P44" s="5">
        <f>M44/F44</f>
        <v>2.5916666666666668</v>
      </c>
    </row>
    <row r="45" spans="1:19">
      <c r="A45" s="129">
        <f t="shared" si="0"/>
        <v>28</v>
      </c>
      <c r="B45" s="2" t="s">
        <v>13</v>
      </c>
      <c r="C45" s="37" t="s">
        <v>30</v>
      </c>
      <c r="D45" s="37">
        <v>55</v>
      </c>
      <c r="E45" s="37" t="s">
        <v>17</v>
      </c>
      <c r="F45" s="49">
        <v>12</v>
      </c>
      <c r="G45" s="5">
        <f t="shared" si="2"/>
        <v>5.4</v>
      </c>
      <c r="H45" s="110">
        <v>5.4</v>
      </c>
      <c r="I45" s="110">
        <v>0</v>
      </c>
      <c r="J45" s="5">
        <f t="shared" si="3"/>
        <v>5.4</v>
      </c>
      <c r="K45" s="126">
        <v>5.4</v>
      </c>
      <c r="L45" s="126">
        <v>0</v>
      </c>
      <c r="M45" s="5">
        <f t="shared" si="4"/>
        <v>5.4</v>
      </c>
      <c r="N45" s="148">
        <v>5.4</v>
      </c>
      <c r="O45" s="148">
        <v>0</v>
      </c>
      <c r="P45" s="5">
        <f t="shared" si="5"/>
        <v>0.45</v>
      </c>
    </row>
    <row r="46" spans="1:19" s="42" customFormat="1">
      <c r="A46" s="40"/>
      <c r="B46" s="41" t="s">
        <v>8</v>
      </c>
      <c r="C46" s="41"/>
      <c r="D46" s="41"/>
      <c r="E46" s="41"/>
      <c r="F46" s="105">
        <f>SUM(F18:F45)</f>
        <v>434</v>
      </c>
      <c r="G46" s="104">
        <f t="shared" ref="G46:O46" si="6">SUM(G18:G45)</f>
        <v>5670.36</v>
      </c>
      <c r="H46" s="104">
        <f t="shared" si="6"/>
        <v>2102.38</v>
      </c>
      <c r="I46" s="104">
        <f t="shared" si="6"/>
        <v>3567.9799999999996</v>
      </c>
      <c r="J46" s="104">
        <f t="shared" si="6"/>
        <v>5725.9600000000009</v>
      </c>
      <c r="K46" s="104">
        <f t="shared" si="6"/>
        <v>2141.2000000000003</v>
      </c>
      <c r="L46" s="104">
        <f t="shared" si="6"/>
        <v>3584.76</v>
      </c>
      <c r="M46" s="221">
        <f>SUM(M18:M45)</f>
        <v>5666.2900000000009</v>
      </c>
      <c r="N46" s="221">
        <f t="shared" si="6"/>
        <v>2106.2099999999996</v>
      </c>
      <c r="O46" s="221">
        <f>SUM(O18:O45)</f>
        <v>3560.0800000000004</v>
      </c>
      <c r="P46" s="5"/>
    </row>
    <row r="48" spans="1:19" s="222" customFormat="1">
      <c r="B48" s="223" t="s">
        <v>137</v>
      </c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4"/>
    </row>
    <row r="49" spans="2:22" s="222" customFormat="1">
      <c r="B49" s="175" t="s">
        <v>138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</row>
  </sheetData>
  <sortState ref="C7:P15">
    <sortCondition descending="1" ref="M7:M15"/>
  </sortState>
  <mergeCells count="21">
    <mergeCell ref="B49:V49"/>
    <mergeCell ref="G5:G6"/>
    <mergeCell ref="H5:I5"/>
    <mergeCell ref="C1:P1"/>
    <mergeCell ref="C2:P2"/>
    <mergeCell ref="M5:M6"/>
    <mergeCell ref="N5:O5"/>
    <mergeCell ref="P4:P6"/>
    <mergeCell ref="A17:P17"/>
    <mergeCell ref="A4:A6"/>
    <mergeCell ref="C4:E4"/>
    <mergeCell ref="B4:B6"/>
    <mergeCell ref="F4:F6"/>
    <mergeCell ref="C5:C6"/>
    <mergeCell ref="D5:D6"/>
    <mergeCell ref="E5:E6"/>
    <mergeCell ref="J4:L4"/>
    <mergeCell ref="J5:J6"/>
    <mergeCell ref="K5:L5"/>
    <mergeCell ref="G4:I4"/>
    <mergeCell ref="M4:O4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9"/>
  <sheetViews>
    <sheetView zoomScaleSheetLayoutView="100" workbookViewId="0">
      <pane xSplit="5" ySplit="6" topLeftCell="F16" activePane="bottomRight" state="frozen"/>
      <selection pane="topRight" activeCell="F1" sqref="F1"/>
      <selection pane="bottomLeft" activeCell="A6" sqref="A6"/>
      <selection pane="bottomRight" activeCell="G45" sqref="G45"/>
    </sheetView>
  </sheetViews>
  <sheetFormatPr defaultRowHeight="15"/>
  <cols>
    <col min="1" max="1" width="5" customWidth="1"/>
    <col min="2" max="2" width="21.140625" customWidth="1"/>
    <col min="3" max="3" width="17.140625" customWidth="1"/>
    <col min="7" max="16" width="12.85546875" customWidth="1"/>
  </cols>
  <sheetData>
    <row r="1" spans="1:16">
      <c r="B1" s="173" t="s">
        <v>10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>
      <c r="G3" s="3"/>
      <c r="H3" s="3"/>
      <c r="I3" s="3"/>
      <c r="J3" s="3"/>
      <c r="K3" s="3"/>
      <c r="L3" s="3"/>
      <c r="M3" s="3"/>
      <c r="N3" s="3"/>
      <c r="O3" s="3"/>
      <c r="P3" s="3" t="s">
        <v>9</v>
      </c>
    </row>
    <row r="4" spans="1:16" ht="29.25" customHeight="1">
      <c r="A4" s="166" t="s">
        <v>0</v>
      </c>
      <c r="B4" s="166" t="s">
        <v>12</v>
      </c>
      <c r="C4" s="166" t="s">
        <v>1</v>
      </c>
      <c r="D4" s="166"/>
      <c r="E4" s="166"/>
      <c r="F4" s="177" t="s">
        <v>76</v>
      </c>
      <c r="G4" s="168" t="s">
        <v>132</v>
      </c>
      <c r="H4" s="168"/>
      <c r="I4" s="168"/>
      <c r="J4" s="168" t="s">
        <v>133</v>
      </c>
      <c r="K4" s="168"/>
      <c r="L4" s="168"/>
      <c r="M4" s="168" t="s">
        <v>134</v>
      </c>
      <c r="N4" s="168"/>
      <c r="O4" s="168"/>
      <c r="P4" s="161" t="s">
        <v>104</v>
      </c>
    </row>
    <row r="5" spans="1:16" ht="13.5" customHeight="1">
      <c r="A5" s="166"/>
      <c r="B5" s="166"/>
      <c r="C5" s="166" t="s">
        <v>2</v>
      </c>
      <c r="D5" s="166" t="s">
        <v>3</v>
      </c>
      <c r="E5" s="166" t="s">
        <v>4</v>
      </c>
      <c r="F5" s="178"/>
      <c r="G5" s="169" t="s">
        <v>5</v>
      </c>
      <c r="H5" s="171" t="s">
        <v>11</v>
      </c>
      <c r="I5" s="172"/>
      <c r="J5" s="169" t="s">
        <v>5</v>
      </c>
      <c r="K5" s="171" t="s">
        <v>11</v>
      </c>
      <c r="L5" s="172"/>
      <c r="M5" s="169" t="s">
        <v>5</v>
      </c>
      <c r="N5" s="171" t="s">
        <v>11</v>
      </c>
      <c r="O5" s="172"/>
      <c r="P5" s="162"/>
    </row>
    <row r="6" spans="1:16" ht="38.25">
      <c r="A6" s="166"/>
      <c r="B6" s="166"/>
      <c r="C6" s="166"/>
      <c r="D6" s="166"/>
      <c r="E6" s="166"/>
      <c r="F6" s="179"/>
      <c r="G6" s="169"/>
      <c r="H6" s="14" t="s">
        <v>6</v>
      </c>
      <c r="I6" s="14" t="s">
        <v>7</v>
      </c>
      <c r="J6" s="169"/>
      <c r="K6" s="14" t="s">
        <v>6</v>
      </c>
      <c r="L6" s="14" t="s">
        <v>7</v>
      </c>
      <c r="M6" s="169"/>
      <c r="N6" s="14" t="s">
        <v>6</v>
      </c>
      <c r="O6" s="14" t="s">
        <v>7</v>
      </c>
      <c r="P6" s="163"/>
    </row>
    <row r="7" spans="1:16">
      <c r="A7" s="67">
        <v>1</v>
      </c>
      <c r="B7" s="2" t="s">
        <v>39</v>
      </c>
      <c r="C7" s="226" t="s">
        <v>41</v>
      </c>
      <c r="D7" s="226">
        <v>12</v>
      </c>
      <c r="E7" s="226"/>
      <c r="F7" s="226">
        <v>96</v>
      </c>
      <c r="G7" s="5">
        <f>H7+I7</f>
        <v>4034.44</v>
      </c>
      <c r="H7" s="5">
        <v>1754.29</v>
      </c>
      <c r="I7" s="5">
        <f>2136.96+143.19</f>
        <v>2280.15</v>
      </c>
      <c r="J7" s="5">
        <f>K7+L7</f>
        <v>3463.4399999999996</v>
      </c>
      <c r="K7" s="5">
        <f>1329.86+194.71</f>
        <v>1524.57</v>
      </c>
      <c r="L7" s="5">
        <f>2051.45-112.58</f>
        <v>1938.87</v>
      </c>
      <c r="M7" s="228">
        <f>N7+O7</f>
        <v>3410.61</v>
      </c>
      <c r="N7" s="228">
        <v>1354.31</v>
      </c>
      <c r="O7" s="228">
        <v>2056.3000000000002</v>
      </c>
      <c r="P7" s="228">
        <f>M7/F7</f>
        <v>35.527187500000004</v>
      </c>
    </row>
    <row r="8" spans="1:16">
      <c r="A8" s="67">
        <f t="shared" ref="A8:A33" si="0">A7+1</f>
        <v>2</v>
      </c>
      <c r="B8" s="2" t="s">
        <v>39</v>
      </c>
      <c r="C8" s="37" t="s">
        <v>44</v>
      </c>
      <c r="D8" s="37">
        <v>1</v>
      </c>
      <c r="E8" s="37"/>
      <c r="F8" s="37">
        <v>120</v>
      </c>
      <c r="G8" s="5">
        <f>H8+I8</f>
        <v>1836.26</v>
      </c>
      <c r="H8" s="5">
        <f>891.13+19.81</f>
        <v>910.93999999999994</v>
      </c>
      <c r="I8" s="5">
        <v>925.32</v>
      </c>
      <c r="J8" s="5">
        <f>K8+L8</f>
        <v>1532.87</v>
      </c>
      <c r="K8" s="5">
        <v>878.94</v>
      </c>
      <c r="L8" s="5">
        <v>653.92999999999995</v>
      </c>
      <c r="M8" s="5">
        <f>N8+O8</f>
        <v>1579.77</v>
      </c>
      <c r="N8" s="5">
        <v>967.55</v>
      </c>
      <c r="O8" s="5">
        <v>612.22</v>
      </c>
      <c r="P8" s="61">
        <f>M8/F8</f>
        <v>13.16475</v>
      </c>
    </row>
    <row r="9" spans="1:16">
      <c r="A9" s="67">
        <f t="shared" si="0"/>
        <v>3</v>
      </c>
      <c r="B9" s="2" t="s">
        <v>39</v>
      </c>
      <c r="C9" s="37" t="s">
        <v>58</v>
      </c>
      <c r="D9" s="37">
        <v>10</v>
      </c>
      <c r="E9" s="37"/>
      <c r="F9" s="37">
        <v>91</v>
      </c>
      <c r="G9" s="5">
        <f>H9+I9</f>
        <v>677.79</v>
      </c>
      <c r="H9" s="5">
        <v>356.9</v>
      </c>
      <c r="I9" s="5">
        <v>320.89</v>
      </c>
      <c r="J9" s="5">
        <f>K9+L9</f>
        <v>999.93</v>
      </c>
      <c r="K9" s="5">
        <f>356.15+150</f>
        <v>506.15</v>
      </c>
      <c r="L9" s="5">
        <f>493.78</f>
        <v>493.78</v>
      </c>
      <c r="M9" s="5">
        <f>N9+O9</f>
        <v>1060.44</v>
      </c>
      <c r="N9" s="5">
        <v>425.64</v>
      </c>
      <c r="O9" s="5">
        <v>634.79999999999995</v>
      </c>
      <c r="P9" s="61">
        <f>M9/F9</f>
        <v>11.653186813186814</v>
      </c>
    </row>
    <row r="10" spans="1:16">
      <c r="A10" s="148">
        <f t="shared" si="0"/>
        <v>4</v>
      </c>
      <c r="B10" s="2" t="s">
        <v>39</v>
      </c>
      <c r="C10" s="37" t="s">
        <v>46</v>
      </c>
      <c r="D10" s="37">
        <v>29</v>
      </c>
      <c r="E10" s="37"/>
      <c r="F10" s="37">
        <v>73</v>
      </c>
      <c r="G10" s="5">
        <f>H10+I10</f>
        <v>714.8</v>
      </c>
      <c r="H10" s="5">
        <v>424.02</v>
      </c>
      <c r="I10" s="5">
        <v>290.77999999999997</v>
      </c>
      <c r="J10" s="5">
        <f>K10+L10</f>
        <v>915.83</v>
      </c>
      <c r="K10" s="5">
        <f>505.1+50</f>
        <v>555.1</v>
      </c>
      <c r="L10" s="5">
        <v>360.73</v>
      </c>
      <c r="M10" s="5">
        <f>N10+O10</f>
        <v>901.54</v>
      </c>
      <c r="N10" s="5">
        <v>588.09</v>
      </c>
      <c r="O10" s="5">
        <v>313.45</v>
      </c>
      <c r="P10" s="61">
        <f>M10/F10</f>
        <v>12.349863013698629</v>
      </c>
    </row>
    <row r="11" spans="1:16">
      <c r="A11" s="148">
        <f t="shared" si="0"/>
        <v>5</v>
      </c>
      <c r="B11" s="2" t="s">
        <v>39</v>
      </c>
      <c r="C11" s="37" t="s">
        <v>42</v>
      </c>
      <c r="D11" s="37">
        <v>34</v>
      </c>
      <c r="E11" s="37"/>
      <c r="F11" s="37">
        <v>84</v>
      </c>
      <c r="G11" s="5">
        <f>H11+I11</f>
        <v>1065.8499999999999</v>
      </c>
      <c r="H11" s="5">
        <v>437.72</v>
      </c>
      <c r="I11" s="5">
        <v>628.13</v>
      </c>
      <c r="J11" s="5">
        <f>K11+L11</f>
        <v>833.40000000000009</v>
      </c>
      <c r="K11" s="5">
        <v>439.16</v>
      </c>
      <c r="L11" s="5">
        <v>394.24</v>
      </c>
      <c r="M11" s="5">
        <f>N11+O11</f>
        <v>834.72</v>
      </c>
      <c r="N11" s="5">
        <v>477.01</v>
      </c>
      <c r="O11" s="5">
        <v>357.71</v>
      </c>
      <c r="P11" s="61">
        <f>M11/F11</f>
        <v>9.9371428571428577</v>
      </c>
    </row>
    <row r="12" spans="1:16">
      <c r="A12" s="148">
        <f t="shared" si="0"/>
        <v>6</v>
      </c>
      <c r="B12" s="2" t="s">
        <v>39</v>
      </c>
      <c r="C12" s="37" t="s">
        <v>42</v>
      </c>
      <c r="D12" s="37">
        <v>16</v>
      </c>
      <c r="E12" s="37"/>
      <c r="F12" s="37">
        <v>42</v>
      </c>
      <c r="G12" s="5">
        <f>H12+I12</f>
        <v>649.83000000000004</v>
      </c>
      <c r="H12" s="5">
        <v>311.47000000000003</v>
      </c>
      <c r="I12" s="5">
        <v>338.36</v>
      </c>
      <c r="J12" s="5">
        <f>K12+L12</f>
        <v>648.28</v>
      </c>
      <c r="K12" s="5">
        <f>239.03+50</f>
        <v>289.02999999999997</v>
      </c>
      <c r="L12" s="5">
        <v>359.25</v>
      </c>
      <c r="M12" s="5">
        <f>N12+O12</f>
        <v>787.68000000000006</v>
      </c>
      <c r="N12" s="5">
        <v>305.29000000000002</v>
      </c>
      <c r="O12" s="5">
        <v>482.39</v>
      </c>
      <c r="P12" s="61">
        <f>M12/F12</f>
        <v>18.754285714285714</v>
      </c>
    </row>
    <row r="13" spans="1:16">
      <c r="A13" s="148">
        <f t="shared" si="0"/>
        <v>7</v>
      </c>
      <c r="B13" s="2" t="s">
        <v>39</v>
      </c>
      <c r="C13" s="37" t="s">
        <v>45</v>
      </c>
      <c r="D13" s="37">
        <v>11</v>
      </c>
      <c r="E13" s="37"/>
      <c r="F13" s="37">
        <v>60</v>
      </c>
      <c r="G13" s="5">
        <f>H13+I13</f>
        <v>647.06999999999994</v>
      </c>
      <c r="H13" s="5">
        <v>311.19</v>
      </c>
      <c r="I13" s="5">
        <v>335.88</v>
      </c>
      <c r="J13" s="5">
        <f>K13+L13</f>
        <v>642.88000000000011</v>
      </c>
      <c r="K13" s="5">
        <f>214.21+102</f>
        <v>316.21000000000004</v>
      </c>
      <c r="L13" s="5">
        <f>326.67</f>
        <v>326.67</v>
      </c>
      <c r="M13" s="5">
        <f>N13+O13</f>
        <v>691.36</v>
      </c>
      <c r="N13" s="5">
        <v>226.64</v>
      </c>
      <c r="O13" s="5">
        <v>464.72</v>
      </c>
      <c r="P13" s="61">
        <f>M13/F13</f>
        <v>11.522666666666668</v>
      </c>
    </row>
    <row r="14" spans="1:16">
      <c r="A14" s="148">
        <f t="shared" si="0"/>
        <v>8</v>
      </c>
      <c r="B14" s="2" t="s">
        <v>39</v>
      </c>
      <c r="C14" s="37" t="s">
        <v>38</v>
      </c>
      <c r="D14" s="37">
        <v>20</v>
      </c>
      <c r="E14" s="37"/>
      <c r="F14" s="37">
        <v>72</v>
      </c>
      <c r="G14" s="5">
        <f>H14+I14</f>
        <v>750.6</v>
      </c>
      <c r="H14" s="5">
        <v>360.49</v>
      </c>
      <c r="I14" s="5">
        <v>390.11</v>
      </c>
      <c r="J14" s="5">
        <f>K14+L14</f>
        <v>469.21000000000004</v>
      </c>
      <c r="K14" s="5">
        <v>324.91000000000003</v>
      </c>
      <c r="L14" s="5">
        <v>144.30000000000001</v>
      </c>
      <c r="M14" s="5">
        <f>N14+O14</f>
        <v>486.23</v>
      </c>
      <c r="N14" s="5">
        <v>341.77</v>
      </c>
      <c r="O14" s="5">
        <v>144.46</v>
      </c>
      <c r="P14" s="61">
        <f>M14/F14</f>
        <v>6.7531944444444445</v>
      </c>
    </row>
    <row r="15" spans="1:16">
      <c r="A15" s="148">
        <f t="shared" si="0"/>
        <v>9</v>
      </c>
      <c r="B15" s="128" t="s">
        <v>39</v>
      </c>
      <c r="C15" s="111" t="s">
        <v>41</v>
      </c>
      <c r="D15" s="111">
        <v>33</v>
      </c>
      <c r="E15" s="111"/>
      <c r="F15" s="111">
        <v>60</v>
      </c>
      <c r="G15" s="5">
        <f>H15+I15</f>
        <v>577.14</v>
      </c>
      <c r="H15" s="5">
        <v>423.72</v>
      </c>
      <c r="I15" s="5">
        <v>153.41999999999999</v>
      </c>
      <c r="J15" s="5">
        <f>K15+L15</f>
        <v>388.31</v>
      </c>
      <c r="K15" s="5">
        <v>272.14</v>
      </c>
      <c r="L15" s="5">
        <v>116.17</v>
      </c>
      <c r="M15" s="5">
        <f>N15+O15</f>
        <v>437.11</v>
      </c>
      <c r="N15" s="5">
        <v>303.44</v>
      </c>
      <c r="O15" s="5">
        <v>133.66999999999999</v>
      </c>
      <c r="P15" s="61">
        <f>M15/F15</f>
        <v>7.285166666666667</v>
      </c>
    </row>
    <row r="16" spans="1:16">
      <c r="A16" s="148">
        <f t="shared" si="0"/>
        <v>10</v>
      </c>
      <c r="B16" s="99" t="s">
        <v>39</v>
      </c>
      <c r="C16" s="98" t="s">
        <v>42</v>
      </c>
      <c r="D16" s="98">
        <v>32</v>
      </c>
      <c r="E16" s="98"/>
      <c r="F16" s="111">
        <v>50</v>
      </c>
      <c r="G16" s="5"/>
      <c r="H16" s="5"/>
      <c r="I16" s="5"/>
      <c r="J16" s="5">
        <f>K16+L16</f>
        <v>148</v>
      </c>
      <c r="K16" s="5">
        <v>148</v>
      </c>
      <c r="L16" s="5"/>
      <c r="M16" s="5">
        <f>N16+O16</f>
        <v>220.11</v>
      </c>
      <c r="N16" s="5">
        <v>220.11</v>
      </c>
      <c r="O16" s="5">
        <v>0</v>
      </c>
      <c r="P16" s="61">
        <f>M16/F16</f>
        <v>4.4022000000000006</v>
      </c>
    </row>
    <row r="17" spans="1:16">
      <c r="A17" s="93"/>
      <c r="B17" s="93" t="s">
        <v>8</v>
      </c>
      <c r="C17" s="92"/>
      <c r="D17" s="92"/>
      <c r="E17" s="92"/>
      <c r="F17" s="101">
        <f>SUM(F7:F16)</f>
        <v>748</v>
      </c>
      <c r="G17" s="65">
        <f>SUM(G7:G16)</f>
        <v>10953.779999999999</v>
      </c>
      <c r="H17" s="65">
        <f>SUM(H7:H16)</f>
        <v>5290.74</v>
      </c>
      <c r="I17" s="65">
        <f>SUM(I7:I16)</f>
        <v>5663.04</v>
      </c>
      <c r="J17" s="65">
        <f>SUM(J7:J16)</f>
        <v>10042.15</v>
      </c>
      <c r="K17" s="65">
        <f>SUM(K7:K16)</f>
        <v>5254.21</v>
      </c>
      <c r="L17" s="65">
        <f>SUM(L7:L16)</f>
        <v>4787.9400000000005</v>
      </c>
      <c r="M17" s="65">
        <f>SUM(M7:M16)</f>
        <v>10409.570000000002</v>
      </c>
      <c r="N17" s="65">
        <f>SUM(N7:N16)</f>
        <v>5209.8499999999985</v>
      </c>
      <c r="O17" s="65">
        <f>SUM(O7:O16)</f>
        <v>5199.7200000000012</v>
      </c>
      <c r="P17" s="61"/>
    </row>
    <row r="18" spans="1:16">
      <c r="A18" s="164" t="s">
        <v>112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6">
      <c r="A19" s="2">
        <v>1</v>
      </c>
      <c r="B19" s="2" t="s">
        <v>39</v>
      </c>
      <c r="C19" s="37" t="s">
        <v>22</v>
      </c>
      <c r="D19" s="37">
        <v>9</v>
      </c>
      <c r="E19" s="37" t="s">
        <v>18</v>
      </c>
      <c r="F19" s="37">
        <v>5</v>
      </c>
      <c r="G19" s="5">
        <f>H19+I19</f>
        <v>8.0500000000000007</v>
      </c>
      <c r="H19" s="5">
        <v>7.04</v>
      </c>
      <c r="I19" s="5">
        <v>1.01</v>
      </c>
      <c r="J19" s="5">
        <f>K19+L19</f>
        <v>8.36</v>
      </c>
      <c r="K19" s="5">
        <v>7.31</v>
      </c>
      <c r="L19" s="5">
        <v>1.05</v>
      </c>
      <c r="M19" s="5">
        <f>N19+O19</f>
        <v>11.53</v>
      </c>
      <c r="N19" s="5">
        <v>8.77</v>
      </c>
      <c r="O19" s="5">
        <v>2.76</v>
      </c>
      <c r="P19" s="61">
        <f>M19/F19</f>
        <v>2.306</v>
      </c>
    </row>
    <row r="20" spans="1:16">
      <c r="A20" s="67">
        <f>A19+1</f>
        <v>2</v>
      </c>
      <c r="B20" s="2" t="s">
        <v>39</v>
      </c>
      <c r="C20" s="37" t="s">
        <v>22</v>
      </c>
      <c r="D20" s="37">
        <v>23</v>
      </c>
      <c r="E20" s="37"/>
      <c r="F20" s="37">
        <v>8</v>
      </c>
      <c r="G20" s="5">
        <f>H20+I20</f>
        <v>4.8599999999999994</v>
      </c>
      <c r="H20" s="5">
        <v>1</v>
      </c>
      <c r="I20" s="5">
        <v>3.86</v>
      </c>
      <c r="J20" s="5">
        <f>K20+L20</f>
        <v>5.67</v>
      </c>
      <c r="K20" s="5">
        <v>1.52</v>
      </c>
      <c r="L20" s="5">
        <v>4.1500000000000004</v>
      </c>
      <c r="M20" s="5">
        <f>N20+O20</f>
        <v>13.54</v>
      </c>
      <c r="N20" s="5">
        <v>12.27</v>
      </c>
      <c r="O20" s="5">
        <v>1.27</v>
      </c>
      <c r="P20" s="61">
        <f>M20/F20</f>
        <v>1.6924999999999999</v>
      </c>
    </row>
    <row r="21" spans="1:16">
      <c r="A21" s="67">
        <f t="shared" si="0"/>
        <v>3</v>
      </c>
      <c r="B21" s="2" t="s">
        <v>39</v>
      </c>
      <c r="C21" s="37" t="s">
        <v>22</v>
      </c>
      <c r="D21" s="37">
        <v>28</v>
      </c>
      <c r="E21" s="37"/>
      <c r="F21" s="37">
        <v>8</v>
      </c>
      <c r="G21" s="5">
        <f t="shared" ref="G21:G33" si="1">H21+I21</f>
        <v>62.86</v>
      </c>
      <c r="H21" s="5">
        <v>60.91</v>
      </c>
      <c r="I21" s="5">
        <v>1.95</v>
      </c>
      <c r="J21" s="5">
        <f t="shared" ref="J21:J33" si="2">K21+L21</f>
        <v>66.94</v>
      </c>
      <c r="K21" s="5">
        <v>64.84</v>
      </c>
      <c r="L21" s="5">
        <v>2.1</v>
      </c>
      <c r="M21" s="5">
        <f t="shared" ref="M21:M33" si="3">N21+O21</f>
        <v>72.97999999999999</v>
      </c>
      <c r="N21" s="5">
        <v>70.209999999999994</v>
      </c>
      <c r="O21" s="5">
        <v>2.77</v>
      </c>
      <c r="P21" s="61">
        <f t="shared" ref="P21:P30" si="4">M21/F21</f>
        <v>9.1224999999999987</v>
      </c>
    </row>
    <row r="22" spans="1:16" ht="20.25" customHeight="1">
      <c r="A22" s="67">
        <f t="shared" si="0"/>
        <v>4</v>
      </c>
      <c r="B22" s="2" t="s">
        <v>39</v>
      </c>
      <c r="C22" s="37" t="s">
        <v>22</v>
      </c>
      <c r="D22" s="37">
        <v>11</v>
      </c>
      <c r="E22" s="37"/>
      <c r="F22" s="37">
        <v>27</v>
      </c>
      <c r="G22" s="5">
        <f t="shared" si="1"/>
        <v>64.5</v>
      </c>
      <c r="H22" s="5">
        <v>41</v>
      </c>
      <c r="I22" s="5">
        <v>23.5</v>
      </c>
      <c r="J22" s="5">
        <f t="shared" si="2"/>
        <v>64.5</v>
      </c>
      <c r="K22" s="5">
        <v>41</v>
      </c>
      <c r="L22" s="5">
        <v>23.5</v>
      </c>
      <c r="M22" s="5">
        <f t="shared" si="3"/>
        <v>51.4</v>
      </c>
      <c r="N22" s="5">
        <v>31.7</v>
      </c>
      <c r="O22" s="5">
        <v>19.7</v>
      </c>
      <c r="P22" s="61">
        <f t="shared" si="4"/>
        <v>1.9037037037037037</v>
      </c>
    </row>
    <row r="23" spans="1:16" ht="21.75" customHeight="1">
      <c r="A23" s="67">
        <f t="shared" si="0"/>
        <v>5</v>
      </c>
      <c r="B23" s="2" t="s">
        <v>39</v>
      </c>
      <c r="C23" s="37" t="s">
        <v>22</v>
      </c>
      <c r="D23" s="37">
        <v>13</v>
      </c>
      <c r="E23" s="37"/>
      <c r="F23" s="37">
        <v>8</v>
      </c>
      <c r="G23" s="5">
        <f t="shared" si="1"/>
        <v>114</v>
      </c>
      <c r="H23" s="5">
        <v>58.6</v>
      </c>
      <c r="I23" s="5">
        <v>55.4</v>
      </c>
      <c r="J23" s="5">
        <f t="shared" si="2"/>
        <v>112.9</v>
      </c>
      <c r="K23" s="5">
        <v>58.1</v>
      </c>
      <c r="L23" s="5">
        <v>54.8</v>
      </c>
      <c r="M23" s="5">
        <f t="shared" si="3"/>
        <v>112.9</v>
      </c>
      <c r="N23" s="5">
        <v>58.1</v>
      </c>
      <c r="O23" s="5">
        <v>54.8</v>
      </c>
      <c r="P23" s="61">
        <f t="shared" si="4"/>
        <v>14.112500000000001</v>
      </c>
    </row>
    <row r="24" spans="1:16" ht="21.75" customHeight="1">
      <c r="A24" s="67">
        <f t="shared" si="0"/>
        <v>6</v>
      </c>
      <c r="B24" s="2" t="s">
        <v>39</v>
      </c>
      <c r="C24" s="37" t="s">
        <v>22</v>
      </c>
      <c r="D24" s="37">
        <v>16</v>
      </c>
      <c r="E24" s="37"/>
      <c r="F24" s="37">
        <v>27</v>
      </c>
      <c r="G24" s="5">
        <f t="shared" si="1"/>
        <v>6.1</v>
      </c>
      <c r="H24" s="5">
        <v>5.0999999999999996</v>
      </c>
      <c r="I24" s="5">
        <v>1</v>
      </c>
      <c r="J24" s="5">
        <f t="shared" si="2"/>
        <v>6.1</v>
      </c>
      <c r="K24" s="5">
        <v>5.0999999999999996</v>
      </c>
      <c r="L24" s="5">
        <v>1</v>
      </c>
      <c r="M24" s="5">
        <f t="shared" si="3"/>
        <v>6.1</v>
      </c>
      <c r="N24" s="5">
        <v>5.0999999999999996</v>
      </c>
      <c r="O24" s="5">
        <v>1</v>
      </c>
      <c r="P24" s="61">
        <f t="shared" si="4"/>
        <v>0.22592592592592592</v>
      </c>
    </row>
    <row r="25" spans="1:16">
      <c r="A25" s="148">
        <f t="shared" si="0"/>
        <v>7</v>
      </c>
      <c r="B25" s="148" t="s">
        <v>39</v>
      </c>
      <c r="C25" s="111" t="s">
        <v>22</v>
      </c>
      <c r="D25" s="111">
        <v>21</v>
      </c>
      <c r="E25" s="111"/>
      <c r="F25" s="111">
        <v>8</v>
      </c>
      <c r="G25" s="5">
        <f t="shared" si="1"/>
        <v>29.4</v>
      </c>
      <c r="H25" s="5">
        <v>29.4</v>
      </c>
      <c r="I25" s="5"/>
      <c r="J25" s="5">
        <f t="shared" si="2"/>
        <v>29.4</v>
      </c>
      <c r="K25" s="5">
        <v>29.4</v>
      </c>
      <c r="L25" s="5">
        <v>0</v>
      </c>
      <c r="M25" s="5">
        <f t="shared" si="3"/>
        <v>29.4</v>
      </c>
      <c r="N25" s="5">
        <v>29.4</v>
      </c>
      <c r="O25" s="5">
        <v>0</v>
      </c>
      <c r="P25" s="61">
        <f t="shared" si="4"/>
        <v>3.6749999999999998</v>
      </c>
    </row>
    <row r="26" spans="1:16">
      <c r="A26" s="148">
        <f t="shared" si="0"/>
        <v>8</v>
      </c>
      <c r="B26" s="148" t="s">
        <v>39</v>
      </c>
      <c r="C26" s="111" t="s">
        <v>22</v>
      </c>
      <c r="D26" s="111">
        <v>24</v>
      </c>
      <c r="E26" s="111"/>
      <c r="F26" s="111">
        <v>8</v>
      </c>
      <c r="G26" s="5">
        <f t="shared" si="1"/>
        <v>6.5</v>
      </c>
      <c r="H26" s="5">
        <v>6.5</v>
      </c>
      <c r="I26" s="5"/>
      <c r="J26" s="5">
        <f t="shared" si="2"/>
        <v>6.5</v>
      </c>
      <c r="K26" s="5">
        <v>6.5</v>
      </c>
      <c r="L26" s="5">
        <v>0</v>
      </c>
      <c r="M26" s="5">
        <f t="shared" si="3"/>
        <v>6.5</v>
      </c>
      <c r="N26" s="5">
        <v>6.5</v>
      </c>
      <c r="O26" s="5">
        <v>0</v>
      </c>
      <c r="P26" s="61">
        <f t="shared" si="4"/>
        <v>0.8125</v>
      </c>
    </row>
    <row r="27" spans="1:16">
      <c r="A27" s="148">
        <f t="shared" si="0"/>
        <v>9</v>
      </c>
      <c r="B27" s="148" t="s">
        <v>39</v>
      </c>
      <c r="C27" s="111" t="s">
        <v>22</v>
      </c>
      <c r="D27" s="111">
        <v>26</v>
      </c>
      <c r="E27" s="111"/>
      <c r="F27" s="111">
        <v>8</v>
      </c>
      <c r="G27" s="5">
        <f t="shared" si="1"/>
        <v>12.2</v>
      </c>
      <c r="H27" s="5">
        <v>12.2</v>
      </c>
      <c r="I27" s="5"/>
      <c r="J27" s="5">
        <f t="shared" si="2"/>
        <v>12.2</v>
      </c>
      <c r="K27" s="5">
        <v>12.2</v>
      </c>
      <c r="L27" s="5">
        <v>0</v>
      </c>
      <c r="M27" s="5">
        <f t="shared" si="3"/>
        <v>12.2</v>
      </c>
      <c r="N27" s="5">
        <v>12.2</v>
      </c>
      <c r="O27" s="5">
        <v>0</v>
      </c>
      <c r="P27" s="61">
        <f t="shared" si="4"/>
        <v>1.5249999999999999</v>
      </c>
    </row>
    <row r="28" spans="1:16" ht="15" customHeight="1">
      <c r="A28" s="148">
        <f t="shared" si="0"/>
        <v>10</v>
      </c>
      <c r="B28" s="148" t="s">
        <v>39</v>
      </c>
      <c r="C28" s="111" t="s">
        <v>22</v>
      </c>
      <c r="D28" s="111">
        <v>30</v>
      </c>
      <c r="E28" s="111"/>
      <c r="F28" s="111">
        <v>8</v>
      </c>
      <c r="G28" s="5">
        <f t="shared" si="1"/>
        <v>66.599999999999994</v>
      </c>
      <c r="H28" s="5">
        <v>66.599999999999994</v>
      </c>
      <c r="I28" s="5"/>
      <c r="J28" s="5">
        <f t="shared" si="2"/>
        <v>66.599999999999994</v>
      </c>
      <c r="K28" s="5">
        <v>66.599999999999994</v>
      </c>
      <c r="L28" s="5">
        <v>0</v>
      </c>
      <c r="M28" s="5">
        <f t="shared" si="3"/>
        <v>62.9</v>
      </c>
      <c r="N28" s="5">
        <v>62.9</v>
      </c>
      <c r="O28" s="5">
        <v>0</v>
      </c>
      <c r="P28" s="61">
        <f t="shared" si="4"/>
        <v>7.8624999999999998</v>
      </c>
    </row>
    <row r="29" spans="1:16">
      <c r="A29" s="148">
        <f t="shared" si="0"/>
        <v>11</v>
      </c>
      <c r="B29" s="148" t="s">
        <v>39</v>
      </c>
      <c r="C29" s="111" t="s">
        <v>47</v>
      </c>
      <c r="D29" s="111">
        <v>1</v>
      </c>
      <c r="E29" s="111"/>
      <c r="F29" s="111">
        <v>12</v>
      </c>
      <c r="G29" s="5">
        <f t="shared" si="1"/>
        <v>143.80000000000001</v>
      </c>
      <c r="H29" s="5">
        <v>71.900000000000006</v>
      </c>
      <c r="I29" s="5">
        <v>71.900000000000006</v>
      </c>
      <c r="J29" s="5">
        <f t="shared" si="2"/>
        <v>143.80000000000001</v>
      </c>
      <c r="K29" s="5">
        <v>71.900000000000006</v>
      </c>
      <c r="L29" s="5">
        <v>71.900000000000006</v>
      </c>
      <c r="M29" s="5">
        <f t="shared" si="3"/>
        <v>143.80000000000001</v>
      </c>
      <c r="N29" s="5">
        <v>71.900000000000006</v>
      </c>
      <c r="O29" s="5">
        <v>71.900000000000006</v>
      </c>
      <c r="P29" s="61">
        <f t="shared" si="4"/>
        <v>11.983333333333334</v>
      </c>
    </row>
    <row r="30" spans="1:16">
      <c r="A30" s="148">
        <f t="shared" si="0"/>
        <v>12</v>
      </c>
      <c r="B30" s="148" t="s">
        <v>39</v>
      </c>
      <c r="C30" s="111" t="s">
        <v>47</v>
      </c>
      <c r="D30" s="111">
        <v>7</v>
      </c>
      <c r="E30" s="111"/>
      <c r="F30" s="111">
        <v>12</v>
      </c>
      <c r="G30" s="5">
        <f t="shared" si="1"/>
        <v>0.3</v>
      </c>
      <c r="H30" s="5">
        <v>0.3</v>
      </c>
      <c r="I30" s="5"/>
      <c r="J30" s="5">
        <f t="shared" si="2"/>
        <v>0.3</v>
      </c>
      <c r="K30" s="5">
        <v>0.3</v>
      </c>
      <c r="L30" s="5">
        <v>0</v>
      </c>
      <c r="M30" s="5">
        <f t="shared" si="3"/>
        <v>0.3</v>
      </c>
      <c r="N30" s="5">
        <v>0.3</v>
      </c>
      <c r="O30" s="5">
        <v>0</v>
      </c>
      <c r="P30" s="61">
        <f t="shared" si="4"/>
        <v>2.4999999999999998E-2</v>
      </c>
    </row>
    <row r="31" spans="1:16">
      <c r="A31" s="148">
        <f t="shared" si="0"/>
        <v>13</v>
      </c>
      <c r="B31" s="148" t="s">
        <v>39</v>
      </c>
      <c r="C31" s="111" t="s">
        <v>40</v>
      </c>
      <c r="D31" s="111">
        <v>44</v>
      </c>
      <c r="E31" s="111"/>
      <c r="F31" s="111">
        <v>31</v>
      </c>
      <c r="G31" s="5">
        <f>H31+I31</f>
        <v>339.65</v>
      </c>
      <c r="H31" s="5">
        <v>133.13999999999999</v>
      </c>
      <c r="I31" s="5">
        <v>206.51</v>
      </c>
      <c r="J31" s="5">
        <f>K31+L31</f>
        <v>306.14999999999998</v>
      </c>
      <c r="K31" s="5">
        <v>122.17</v>
      </c>
      <c r="L31" s="5">
        <v>183.98</v>
      </c>
      <c r="M31" s="5">
        <f t="shared" si="3"/>
        <v>304.81</v>
      </c>
      <c r="N31" s="5">
        <v>123.55</v>
      </c>
      <c r="O31" s="5">
        <v>181.26</v>
      </c>
      <c r="P31" s="61">
        <f>M31/F31</f>
        <v>9.8325806451612898</v>
      </c>
    </row>
    <row r="32" spans="1:16">
      <c r="A32" s="148">
        <f t="shared" si="0"/>
        <v>14</v>
      </c>
      <c r="B32" s="148" t="s">
        <v>39</v>
      </c>
      <c r="C32" s="111" t="s">
        <v>43</v>
      </c>
      <c r="D32" s="111">
        <v>17</v>
      </c>
      <c r="E32" s="111" t="s">
        <v>18</v>
      </c>
      <c r="F32" s="111">
        <v>40</v>
      </c>
      <c r="G32" s="5">
        <f t="shared" ref="G32" si="5">H32+I32</f>
        <v>944.9</v>
      </c>
      <c r="H32" s="5">
        <v>521.87</v>
      </c>
      <c r="I32" s="5">
        <v>423.03</v>
      </c>
      <c r="J32" s="5">
        <f t="shared" ref="J32" si="6">K32+L32</f>
        <v>1026.93</v>
      </c>
      <c r="K32" s="5">
        <f>368.75+250</f>
        <v>618.75</v>
      </c>
      <c r="L32" s="5">
        <v>408.18</v>
      </c>
      <c r="M32" s="5">
        <f t="shared" si="3"/>
        <v>832.8900000000001</v>
      </c>
      <c r="N32" s="5">
        <v>377.85</v>
      </c>
      <c r="O32" s="5">
        <v>455.04</v>
      </c>
      <c r="P32" s="61">
        <f t="shared" ref="P32" si="7">M32/F32</f>
        <v>20.822250000000004</v>
      </c>
    </row>
    <row r="33" spans="1:22">
      <c r="A33" s="148">
        <f t="shared" si="0"/>
        <v>15</v>
      </c>
      <c r="B33" s="148" t="s">
        <v>39</v>
      </c>
      <c r="C33" s="111" t="s">
        <v>40</v>
      </c>
      <c r="D33" s="111">
        <v>5</v>
      </c>
      <c r="E33" s="111" t="s">
        <v>17</v>
      </c>
      <c r="F33" s="111">
        <v>12</v>
      </c>
      <c r="G33" s="5">
        <f t="shared" si="1"/>
        <v>12.8</v>
      </c>
      <c r="H33" s="5">
        <v>12.8</v>
      </c>
      <c r="I33" s="5"/>
      <c r="J33" s="5">
        <f t="shared" si="2"/>
        <v>12.8</v>
      </c>
      <c r="K33" s="5">
        <v>12.8</v>
      </c>
      <c r="L33" s="5">
        <v>0</v>
      </c>
      <c r="M33" s="5">
        <f t="shared" si="3"/>
        <v>12.8</v>
      </c>
      <c r="N33" s="5">
        <v>12.8</v>
      </c>
      <c r="O33" s="5">
        <v>0</v>
      </c>
      <c r="P33" s="61">
        <f>M33/F33</f>
        <v>1.0666666666666667</v>
      </c>
    </row>
    <row r="34" spans="1:22" ht="15" customHeight="1">
      <c r="A34" s="219"/>
      <c r="B34" s="219" t="s">
        <v>39</v>
      </c>
      <c r="C34" s="219" t="s">
        <v>22</v>
      </c>
      <c r="D34" s="219">
        <v>19</v>
      </c>
      <c r="E34" s="219"/>
      <c r="F34" s="219">
        <v>8</v>
      </c>
      <c r="G34" s="220">
        <f t="shared" ref="G34:G35" si="8">H34+I34</f>
        <v>6.1</v>
      </c>
      <c r="H34" s="220">
        <v>6.1</v>
      </c>
      <c r="I34" s="220"/>
      <c r="J34" s="220">
        <f t="shared" ref="J34:J35" si="9">K34+L34</f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f t="shared" ref="P34:P35" si="10">M34/F34</f>
        <v>0</v>
      </c>
    </row>
    <row r="35" spans="1:22">
      <c r="A35" s="219"/>
      <c r="B35" s="219" t="s">
        <v>39</v>
      </c>
      <c r="C35" s="219" t="s">
        <v>48</v>
      </c>
      <c r="D35" s="219">
        <v>4</v>
      </c>
      <c r="E35" s="219"/>
      <c r="F35" s="219">
        <v>12</v>
      </c>
      <c r="G35" s="220">
        <f t="shared" si="8"/>
        <v>4.5999999999999996</v>
      </c>
      <c r="H35" s="220">
        <v>4.5999999999999996</v>
      </c>
      <c r="I35" s="220"/>
      <c r="J35" s="220">
        <f t="shared" si="9"/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f t="shared" si="10"/>
        <v>0</v>
      </c>
    </row>
    <row r="36" spans="1:22" s="42" customFormat="1">
      <c r="A36" s="40"/>
      <c r="B36" s="41" t="s">
        <v>8</v>
      </c>
      <c r="C36" s="64"/>
      <c r="D36" s="64"/>
      <c r="E36" s="64"/>
      <c r="F36" s="107">
        <f>SUM(F19:F33)</f>
        <v>222</v>
      </c>
      <c r="G36" s="108">
        <f>SUM(G19:G35)</f>
        <v>1827.2199999999996</v>
      </c>
      <c r="H36" s="108">
        <f t="shared" ref="H36:I36" si="11">SUM(H19:H35)</f>
        <v>1039.0599999999997</v>
      </c>
      <c r="I36" s="108">
        <f t="shared" si="11"/>
        <v>788.16</v>
      </c>
      <c r="J36" s="108">
        <f>SUM(J19:J33)</f>
        <v>1869.1499999999999</v>
      </c>
      <c r="K36" s="108">
        <f>SUM(K19:K33)</f>
        <v>1118.49</v>
      </c>
      <c r="L36" s="108">
        <f>SUM(L19:L33)</f>
        <v>750.66000000000008</v>
      </c>
      <c r="M36" s="108">
        <f>SUM(M19:M33)</f>
        <v>1674.05</v>
      </c>
      <c r="N36" s="108">
        <f>SUM(N19:N33)</f>
        <v>883.55</v>
      </c>
      <c r="O36" s="108">
        <f>SUM(O19:O33)</f>
        <v>790.5</v>
      </c>
      <c r="P36" s="65"/>
    </row>
    <row r="37" spans="1:22">
      <c r="G37" s="10"/>
      <c r="H37" s="10"/>
      <c r="I37" s="10"/>
      <c r="J37" s="10"/>
      <c r="K37" s="10"/>
      <c r="L37" s="10"/>
      <c r="M37" s="10"/>
      <c r="N37" s="10"/>
      <c r="O37" s="10"/>
    </row>
    <row r="38" spans="1:22" s="222" customFormat="1">
      <c r="B38" s="223" t="s">
        <v>137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4"/>
    </row>
    <row r="39" spans="1:22" s="222" customFormat="1">
      <c r="B39" s="175" t="s">
        <v>139</v>
      </c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</row>
  </sheetData>
  <sortState ref="C7:P16">
    <sortCondition descending="1" ref="M7:M16"/>
  </sortState>
  <mergeCells count="21">
    <mergeCell ref="B1:P1"/>
    <mergeCell ref="B2:P2"/>
    <mergeCell ref="A4:A6"/>
    <mergeCell ref="F4:F6"/>
    <mergeCell ref="C5:C6"/>
    <mergeCell ref="D5:D6"/>
    <mergeCell ref="E5:E6"/>
    <mergeCell ref="G4:I4"/>
    <mergeCell ref="G5:G6"/>
    <mergeCell ref="H5:I5"/>
    <mergeCell ref="J4:L4"/>
    <mergeCell ref="J5:J6"/>
    <mergeCell ref="K5:L5"/>
    <mergeCell ref="P4:P6"/>
    <mergeCell ref="B4:B6"/>
    <mergeCell ref="C4:E4"/>
    <mergeCell ref="A18:P18"/>
    <mergeCell ref="M4:O4"/>
    <mergeCell ref="M5:M6"/>
    <mergeCell ref="N5:O5"/>
    <mergeCell ref="B39:V39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7"/>
  <sheetViews>
    <sheetView zoomScaleNormal="100" workbookViewId="0">
      <selection activeCell="J36" sqref="J36"/>
    </sheetView>
  </sheetViews>
  <sheetFormatPr defaultRowHeight="12.75"/>
  <cols>
    <col min="1" max="1" width="9.140625" style="12"/>
    <col min="2" max="2" width="19.7109375" style="12" customWidth="1"/>
    <col min="3" max="3" width="22.42578125" style="12" customWidth="1"/>
    <col min="4" max="4" width="6.7109375" style="12" customWidth="1"/>
    <col min="5" max="5" width="7.42578125" style="12" customWidth="1"/>
    <col min="6" max="6" width="10.7109375" style="12" customWidth="1"/>
    <col min="7" max="16" width="10.5703125" style="12" customWidth="1"/>
    <col min="17" max="258" width="9.140625" style="12"/>
    <col min="259" max="259" width="19.7109375" style="12" customWidth="1"/>
    <col min="260" max="260" width="22.42578125" style="12" customWidth="1"/>
    <col min="261" max="262" width="6.7109375" style="12" customWidth="1"/>
    <col min="263" max="263" width="8.7109375" style="12" customWidth="1"/>
    <col min="264" max="264" width="10" style="12" customWidth="1"/>
    <col min="265" max="265" width="10.5703125" style="12" customWidth="1"/>
    <col min="266" max="266" width="9.140625" style="12"/>
    <col min="267" max="268" width="10.140625" style="12" customWidth="1"/>
    <col min="269" max="269" width="9.140625" style="12"/>
    <col min="270" max="270" width="10.28515625" style="12" customWidth="1"/>
    <col min="271" max="271" width="10.5703125" style="12" customWidth="1"/>
    <col min="272" max="514" width="9.140625" style="12"/>
    <col min="515" max="515" width="19.7109375" style="12" customWidth="1"/>
    <col min="516" max="516" width="22.42578125" style="12" customWidth="1"/>
    <col min="517" max="518" width="6.7109375" style="12" customWidth="1"/>
    <col min="519" max="519" width="8.7109375" style="12" customWidth="1"/>
    <col min="520" max="520" width="10" style="12" customWidth="1"/>
    <col min="521" max="521" width="10.5703125" style="12" customWidth="1"/>
    <col min="522" max="522" width="9.140625" style="12"/>
    <col min="523" max="524" width="10.140625" style="12" customWidth="1"/>
    <col min="525" max="525" width="9.140625" style="12"/>
    <col min="526" max="526" width="10.28515625" style="12" customWidth="1"/>
    <col min="527" max="527" width="10.5703125" style="12" customWidth="1"/>
    <col min="528" max="770" width="9.140625" style="12"/>
    <col min="771" max="771" width="19.7109375" style="12" customWidth="1"/>
    <col min="772" max="772" width="22.42578125" style="12" customWidth="1"/>
    <col min="773" max="774" width="6.7109375" style="12" customWidth="1"/>
    <col min="775" max="775" width="8.7109375" style="12" customWidth="1"/>
    <col min="776" max="776" width="10" style="12" customWidth="1"/>
    <col min="777" max="777" width="10.5703125" style="12" customWidth="1"/>
    <col min="778" max="778" width="9.140625" style="12"/>
    <col min="779" max="780" width="10.140625" style="12" customWidth="1"/>
    <col min="781" max="781" width="9.140625" style="12"/>
    <col min="782" max="782" width="10.28515625" style="12" customWidth="1"/>
    <col min="783" max="783" width="10.5703125" style="12" customWidth="1"/>
    <col min="784" max="1026" width="9.140625" style="12"/>
    <col min="1027" max="1027" width="19.7109375" style="12" customWidth="1"/>
    <col min="1028" max="1028" width="22.42578125" style="12" customWidth="1"/>
    <col min="1029" max="1030" width="6.7109375" style="12" customWidth="1"/>
    <col min="1031" max="1031" width="8.7109375" style="12" customWidth="1"/>
    <col min="1032" max="1032" width="10" style="12" customWidth="1"/>
    <col min="1033" max="1033" width="10.5703125" style="12" customWidth="1"/>
    <col min="1034" max="1034" width="9.140625" style="12"/>
    <col min="1035" max="1036" width="10.140625" style="12" customWidth="1"/>
    <col min="1037" max="1037" width="9.140625" style="12"/>
    <col min="1038" max="1038" width="10.28515625" style="12" customWidth="1"/>
    <col min="1039" max="1039" width="10.5703125" style="12" customWidth="1"/>
    <col min="1040" max="1282" width="9.140625" style="12"/>
    <col min="1283" max="1283" width="19.7109375" style="12" customWidth="1"/>
    <col min="1284" max="1284" width="22.42578125" style="12" customWidth="1"/>
    <col min="1285" max="1286" width="6.7109375" style="12" customWidth="1"/>
    <col min="1287" max="1287" width="8.7109375" style="12" customWidth="1"/>
    <col min="1288" max="1288" width="10" style="12" customWidth="1"/>
    <col min="1289" max="1289" width="10.5703125" style="12" customWidth="1"/>
    <col min="1290" max="1290" width="9.140625" style="12"/>
    <col min="1291" max="1292" width="10.140625" style="12" customWidth="1"/>
    <col min="1293" max="1293" width="9.140625" style="12"/>
    <col min="1294" max="1294" width="10.28515625" style="12" customWidth="1"/>
    <col min="1295" max="1295" width="10.5703125" style="12" customWidth="1"/>
    <col min="1296" max="1538" width="9.140625" style="12"/>
    <col min="1539" max="1539" width="19.7109375" style="12" customWidth="1"/>
    <col min="1540" max="1540" width="22.42578125" style="12" customWidth="1"/>
    <col min="1541" max="1542" width="6.7109375" style="12" customWidth="1"/>
    <col min="1543" max="1543" width="8.7109375" style="12" customWidth="1"/>
    <col min="1544" max="1544" width="10" style="12" customWidth="1"/>
    <col min="1545" max="1545" width="10.5703125" style="12" customWidth="1"/>
    <col min="1546" max="1546" width="9.140625" style="12"/>
    <col min="1547" max="1548" width="10.140625" style="12" customWidth="1"/>
    <col min="1549" max="1549" width="9.140625" style="12"/>
    <col min="1550" max="1550" width="10.28515625" style="12" customWidth="1"/>
    <col min="1551" max="1551" width="10.5703125" style="12" customWidth="1"/>
    <col min="1552" max="1794" width="9.140625" style="12"/>
    <col min="1795" max="1795" width="19.7109375" style="12" customWidth="1"/>
    <col min="1796" max="1796" width="22.42578125" style="12" customWidth="1"/>
    <col min="1797" max="1798" width="6.7109375" style="12" customWidth="1"/>
    <col min="1799" max="1799" width="8.7109375" style="12" customWidth="1"/>
    <col min="1800" max="1800" width="10" style="12" customWidth="1"/>
    <col min="1801" max="1801" width="10.5703125" style="12" customWidth="1"/>
    <col min="1802" max="1802" width="9.140625" style="12"/>
    <col min="1803" max="1804" width="10.140625" style="12" customWidth="1"/>
    <col min="1805" max="1805" width="9.140625" style="12"/>
    <col min="1806" max="1806" width="10.28515625" style="12" customWidth="1"/>
    <col min="1807" max="1807" width="10.5703125" style="12" customWidth="1"/>
    <col min="1808" max="2050" width="9.140625" style="12"/>
    <col min="2051" max="2051" width="19.7109375" style="12" customWidth="1"/>
    <col min="2052" max="2052" width="22.42578125" style="12" customWidth="1"/>
    <col min="2053" max="2054" width="6.7109375" style="12" customWidth="1"/>
    <col min="2055" max="2055" width="8.7109375" style="12" customWidth="1"/>
    <col min="2056" max="2056" width="10" style="12" customWidth="1"/>
    <col min="2057" max="2057" width="10.5703125" style="12" customWidth="1"/>
    <col min="2058" max="2058" width="9.140625" style="12"/>
    <col min="2059" max="2060" width="10.140625" style="12" customWidth="1"/>
    <col min="2061" max="2061" width="9.140625" style="12"/>
    <col min="2062" max="2062" width="10.28515625" style="12" customWidth="1"/>
    <col min="2063" max="2063" width="10.5703125" style="12" customWidth="1"/>
    <col min="2064" max="2306" width="9.140625" style="12"/>
    <col min="2307" max="2307" width="19.7109375" style="12" customWidth="1"/>
    <col min="2308" max="2308" width="22.42578125" style="12" customWidth="1"/>
    <col min="2309" max="2310" width="6.7109375" style="12" customWidth="1"/>
    <col min="2311" max="2311" width="8.7109375" style="12" customWidth="1"/>
    <col min="2312" max="2312" width="10" style="12" customWidth="1"/>
    <col min="2313" max="2313" width="10.5703125" style="12" customWidth="1"/>
    <col min="2314" max="2314" width="9.140625" style="12"/>
    <col min="2315" max="2316" width="10.140625" style="12" customWidth="1"/>
    <col min="2317" max="2317" width="9.140625" style="12"/>
    <col min="2318" max="2318" width="10.28515625" style="12" customWidth="1"/>
    <col min="2319" max="2319" width="10.5703125" style="12" customWidth="1"/>
    <col min="2320" max="2562" width="9.140625" style="12"/>
    <col min="2563" max="2563" width="19.7109375" style="12" customWidth="1"/>
    <col min="2564" max="2564" width="22.42578125" style="12" customWidth="1"/>
    <col min="2565" max="2566" width="6.7109375" style="12" customWidth="1"/>
    <col min="2567" max="2567" width="8.7109375" style="12" customWidth="1"/>
    <col min="2568" max="2568" width="10" style="12" customWidth="1"/>
    <col min="2569" max="2569" width="10.5703125" style="12" customWidth="1"/>
    <col min="2570" max="2570" width="9.140625" style="12"/>
    <col min="2571" max="2572" width="10.140625" style="12" customWidth="1"/>
    <col min="2573" max="2573" width="9.140625" style="12"/>
    <col min="2574" max="2574" width="10.28515625" style="12" customWidth="1"/>
    <col min="2575" max="2575" width="10.5703125" style="12" customWidth="1"/>
    <col min="2576" max="2818" width="9.140625" style="12"/>
    <col min="2819" max="2819" width="19.7109375" style="12" customWidth="1"/>
    <col min="2820" max="2820" width="22.42578125" style="12" customWidth="1"/>
    <col min="2821" max="2822" width="6.7109375" style="12" customWidth="1"/>
    <col min="2823" max="2823" width="8.7109375" style="12" customWidth="1"/>
    <col min="2824" max="2824" width="10" style="12" customWidth="1"/>
    <col min="2825" max="2825" width="10.5703125" style="12" customWidth="1"/>
    <col min="2826" max="2826" width="9.140625" style="12"/>
    <col min="2827" max="2828" width="10.140625" style="12" customWidth="1"/>
    <col min="2829" max="2829" width="9.140625" style="12"/>
    <col min="2830" max="2830" width="10.28515625" style="12" customWidth="1"/>
    <col min="2831" max="2831" width="10.5703125" style="12" customWidth="1"/>
    <col min="2832" max="3074" width="9.140625" style="12"/>
    <col min="3075" max="3075" width="19.7109375" style="12" customWidth="1"/>
    <col min="3076" max="3076" width="22.42578125" style="12" customWidth="1"/>
    <col min="3077" max="3078" width="6.7109375" style="12" customWidth="1"/>
    <col min="3079" max="3079" width="8.7109375" style="12" customWidth="1"/>
    <col min="3080" max="3080" width="10" style="12" customWidth="1"/>
    <col min="3081" max="3081" width="10.5703125" style="12" customWidth="1"/>
    <col min="3082" max="3082" width="9.140625" style="12"/>
    <col min="3083" max="3084" width="10.140625" style="12" customWidth="1"/>
    <col min="3085" max="3085" width="9.140625" style="12"/>
    <col min="3086" max="3086" width="10.28515625" style="12" customWidth="1"/>
    <col min="3087" max="3087" width="10.5703125" style="12" customWidth="1"/>
    <col min="3088" max="3330" width="9.140625" style="12"/>
    <col min="3331" max="3331" width="19.7109375" style="12" customWidth="1"/>
    <col min="3332" max="3332" width="22.42578125" style="12" customWidth="1"/>
    <col min="3333" max="3334" width="6.7109375" style="12" customWidth="1"/>
    <col min="3335" max="3335" width="8.7109375" style="12" customWidth="1"/>
    <col min="3336" max="3336" width="10" style="12" customWidth="1"/>
    <col min="3337" max="3337" width="10.5703125" style="12" customWidth="1"/>
    <col min="3338" max="3338" width="9.140625" style="12"/>
    <col min="3339" max="3340" width="10.140625" style="12" customWidth="1"/>
    <col min="3341" max="3341" width="9.140625" style="12"/>
    <col min="3342" max="3342" width="10.28515625" style="12" customWidth="1"/>
    <col min="3343" max="3343" width="10.5703125" style="12" customWidth="1"/>
    <col min="3344" max="3586" width="9.140625" style="12"/>
    <col min="3587" max="3587" width="19.7109375" style="12" customWidth="1"/>
    <col min="3588" max="3588" width="22.42578125" style="12" customWidth="1"/>
    <col min="3589" max="3590" width="6.7109375" style="12" customWidth="1"/>
    <col min="3591" max="3591" width="8.7109375" style="12" customWidth="1"/>
    <col min="3592" max="3592" width="10" style="12" customWidth="1"/>
    <col min="3593" max="3593" width="10.5703125" style="12" customWidth="1"/>
    <col min="3594" max="3594" width="9.140625" style="12"/>
    <col min="3595" max="3596" width="10.140625" style="12" customWidth="1"/>
    <col min="3597" max="3597" width="9.140625" style="12"/>
    <col min="3598" max="3598" width="10.28515625" style="12" customWidth="1"/>
    <col min="3599" max="3599" width="10.5703125" style="12" customWidth="1"/>
    <col min="3600" max="3842" width="9.140625" style="12"/>
    <col min="3843" max="3843" width="19.7109375" style="12" customWidth="1"/>
    <col min="3844" max="3844" width="22.42578125" style="12" customWidth="1"/>
    <col min="3845" max="3846" width="6.7109375" style="12" customWidth="1"/>
    <col min="3847" max="3847" width="8.7109375" style="12" customWidth="1"/>
    <col min="3848" max="3848" width="10" style="12" customWidth="1"/>
    <col min="3849" max="3849" width="10.5703125" style="12" customWidth="1"/>
    <col min="3850" max="3850" width="9.140625" style="12"/>
    <col min="3851" max="3852" width="10.140625" style="12" customWidth="1"/>
    <col min="3853" max="3853" width="9.140625" style="12"/>
    <col min="3854" max="3854" width="10.28515625" style="12" customWidth="1"/>
    <col min="3855" max="3855" width="10.5703125" style="12" customWidth="1"/>
    <col min="3856" max="4098" width="9.140625" style="12"/>
    <col min="4099" max="4099" width="19.7109375" style="12" customWidth="1"/>
    <col min="4100" max="4100" width="22.42578125" style="12" customWidth="1"/>
    <col min="4101" max="4102" width="6.7109375" style="12" customWidth="1"/>
    <col min="4103" max="4103" width="8.7109375" style="12" customWidth="1"/>
    <col min="4104" max="4104" width="10" style="12" customWidth="1"/>
    <col min="4105" max="4105" width="10.5703125" style="12" customWidth="1"/>
    <col min="4106" max="4106" width="9.140625" style="12"/>
    <col min="4107" max="4108" width="10.140625" style="12" customWidth="1"/>
    <col min="4109" max="4109" width="9.140625" style="12"/>
    <col min="4110" max="4110" width="10.28515625" style="12" customWidth="1"/>
    <col min="4111" max="4111" width="10.5703125" style="12" customWidth="1"/>
    <col min="4112" max="4354" width="9.140625" style="12"/>
    <col min="4355" max="4355" width="19.7109375" style="12" customWidth="1"/>
    <col min="4356" max="4356" width="22.42578125" style="12" customWidth="1"/>
    <col min="4357" max="4358" width="6.7109375" style="12" customWidth="1"/>
    <col min="4359" max="4359" width="8.7109375" style="12" customWidth="1"/>
    <col min="4360" max="4360" width="10" style="12" customWidth="1"/>
    <col min="4361" max="4361" width="10.5703125" style="12" customWidth="1"/>
    <col min="4362" max="4362" width="9.140625" style="12"/>
    <col min="4363" max="4364" width="10.140625" style="12" customWidth="1"/>
    <col min="4365" max="4365" width="9.140625" style="12"/>
    <col min="4366" max="4366" width="10.28515625" style="12" customWidth="1"/>
    <col min="4367" max="4367" width="10.5703125" style="12" customWidth="1"/>
    <col min="4368" max="4610" width="9.140625" style="12"/>
    <col min="4611" max="4611" width="19.7109375" style="12" customWidth="1"/>
    <col min="4612" max="4612" width="22.42578125" style="12" customWidth="1"/>
    <col min="4613" max="4614" width="6.7109375" style="12" customWidth="1"/>
    <col min="4615" max="4615" width="8.7109375" style="12" customWidth="1"/>
    <col min="4616" max="4616" width="10" style="12" customWidth="1"/>
    <col min="4617" max="4617" width="10.5703125" style="12" customWidth="1"/>
    <col min="4618" max="4618" width="9.140625" style="12"/>
    <col min="4619" max="4620" width="10.140625" style="12" customWidth="1"/>
    <col min="4621" max="4621" width="9.140625" style="12"/>
    <col min="4622" max="4622" width="10.28515625" style="12" customWidth="1"/>
    <col min="4623" max="4623" width="10.5703125" style="12" customWidth="1"/>
    <col min="4624" max="4866" width="9.140625" style="12"/>
    <col min="4867" max="4867" width="19.7109375" style="12" customWidth="1"/>
    <col min="4868" max="4868" width="22.42578125" style="12" customWidth="1"/>
    <col min="4869" max="4870" width="6.7109375" style="12" customWidth="1"/>
    <col min="4871" max="4871" width="8.7109375" style="12" customWidth="1"/>
    <col min="4872" max="4872" width="10" style="12" customWidth="1"/>
    <col min="4873" max="4873" width="10.5703125" style="12" customWidth="1"/>
    <col min="4874" max="4874" width="9.140625" style="12"/>
    <col min="4875" max="4876" width="10.140625" style="12" customWidth="1"/>
    <col min="4877" max="4877" width="9.140625" style="12"/>
    <col min="4878" max="4878" width="10.28515625" style="12" customWidth="1"/>
    <col min="4879" max="4879" width="10.5703125" style="12" customWidth="1"/>
    <col min="4880" max="5122" width="9.140625" style="12"/>
    <col min="5123" max="5123" width="19.7109375" style="12" customWidth="1"/>
    <col min="5124" max="5124" width="22.42578125" style="12" customWidth="1"/>
    <col min="5125" max="5126" width="6.7109375" style="12" customWidth="1"/>
    <col min="5127" max="5127" width="8.7109375" style="12" customWidth="1"/>
    <col min="5128" max="5128" width="10" style="12" customWidth="1"/>
    <col min="5129" max="5129" width="10.5703125" style="12" customWidth="1"/>
    <col min="5130" max="5130" width="9.140625" style="12"/>
    <col min="5131" max="5132" width="10.140625" style="12" customWidth="1"/>
    <col min="5133" max="5133" width="9.140625" style="12"/>
    <col min="5134" max="5134" width="10.28515625" style="12" customWidth="1"/>
    <col min="5135" max="5135" width="10.5703125" style="12" customWidth="1"/>
    <col min="5136" max="5378" width="9.140625" style="12"/>
    <col min="5379" max="5379" width="19.7109375" style="12" customWidth="1"/>
    <col min="5380" max="5380" width="22.42578125" style="12" customWidth="1"/>
    <col min="5381" max="5382" width="6.7109375" style="12" customWidth="1"/>
    <col min="5383" max="5383" width="8.7109375" style="12" customWidth="1"/>
    <col min="5384" max="5384" width="10" style="12" customWidth="1"/>
    <col min="5385" max="5385" width="10.5703125" style="12" customWidth="1"/>
    <col min="5386" max="5386" width="9.140625" style="12"/>
    <col min="5387" max="5388" width="10.140625" style="12" customWidth="1"/>
    <col min="5389" max="5389" width="9.140625" style="12"/>
    <col min="5390" max="5390" width="10.28515625" style="12" customWidth="1"/>
    <col min="5391" max="5391" width="10.5703125" style="12" customWidth="1"/>
    <col min="5392" max="5634" width="9.140625" style="12"/>
    <col min="5635" max="5635" width="19.7109375" style="12" customWidth="1"/>
    <col min="5636" max="5636" width="22.42578125" style="12" customWidth="1"/>
    <col min="5637" max="5638" width="6.7109375" style="12" customWidth="1"/>
    <col min="5639" max="5639" width="8.7109375" style="12" customWidth="1"/>
    <col min="5640" max="5640" width="10" style="12" customWidth="1"/>
    <col min="5641" max="5641" width="10.5703125" style="12" customWidth="1"/>
    <col min="5642" max="5642" width="9.140625" style="12"/>
    <col min="5643" max="5644" width="10.140625" style="12" customWidth="1"/>
    <col min="5645" max="5645" width="9.140625" style="12"/>
    <col min="5646" max="5646" width="10.28515625" style="12" customWidth="1"/>
    <col min="5647" max="5647" width="10.5703125" style="12" customWidth="1"/>
    <col min="5648" max="5890" width="9.140625" style="12"/>
    <col min="5891" max="5891" width="19.7109375" style="12" customWidth="1"/>
    <col min="5892" max="5892" width="22.42578125" style="12" customWidth="1"/>
    <col min="5893" max="5894" width="6.7109375" style="12" customWidth="1"/>
    <col min="5895" max="5895" width="8.7109375" style="12" customWidth="1"/>
    <col min="5896" max="5896" width="10" style="12" customWidth="1"/>
    <col min="5897" max="5897" width="10.5703125" style="12" customWidth="1"/>
    <col min="5898" max="5898" width="9.140625" style="12"/>
    <col min="5899" max="5900" width="10.140625" style="12" customWidth="1"/>
    <col min="5901" max="5901" width="9.140625" style="12"/>
    <col min="5902" max="5902" width="10.28515625" style="12" customWidth="1"/>
    <col min="5903" max="5903" width="10.5703125" style="12" customWidth="1"/>
    <col min="5904" max="6146" width="9.140625" style="12"/>
    <col min="6147" max="6147" width="19.7109375" style="12" customWidth="1"/>
    <col min="6148" max="6148" width="22.42578125" style="12" customWidth="1"/>
    <col min="6149" max="6150" width="6.7109375" style="12" customWidth="1"/>
    <col min="6151" max="6151" width="8.7109375" style="12" customWidth="1"/>
    <col min="6152" max="6152" width="10" style="12" customWidth="1"/>
    <col min="6153" max="6153" width="10.5703125" style="12" customWidth="1"/>
    <col min="6154" max="6154" width="9.140625" style="12"/>
    <col min="6155" max="6156" width="10.140625" style="12" customWidth="1"/>
    <col min="6157" max="6157" width="9.140625" style="12"/>
    <col min="6158" max="6158" width="10.28515625" style="12" customWidth="1"/>
    <col min="6159" max="6159" width="10.5703125" style="12" customWidth="1"/>
    <col min="6160" max="6402" width="9.140625" style="12"/>
    <col min="6403" max="6403" width="19.7109375" style="12" customWidth="1"/>
    <col min="6404" max="6404" width="22.42578125" style="12" customWidth="1"/>
    <col min="6405" max="6406" width="6.7109375" style="12" customWidth="1"/>
    <col min="6407" max="6407" width="8.7109375" style="12" customWidth="1"/>
    <col min="6408" max="6408" width="10" style="12" customWidth="1"/>
    <col min="6409" max="6409" width="10.5703125" style="12" customWidth="1"/>
    <col min="6410" max="6410" width="9.140625" style="12"/>
    <col min="6411" max="6412" width="10.140625" style="12" customWidth="1"/>
    <col min="6413" max="6413" width="9.140625" style="12"/>
    <col min="6414" max="6414" width="10.28515625" style="12" customWidth="1"/>
    <col min="6415" max="6415" width="10.5703125" style="12" customWidth="1"/>
    <col min="6416" max="6658" width="9.140625" style="12"/>
    <col min="6659" max="6659" width="19.7109375" style="12" customWidth="1"/>
    <col min="6660" max="6660" width="22.42578125" style="12" customWidth="1"/>
    <col min="6661" max="6662" width="6.7109375" style="12" customWidth="1"/>
    <col min="6663" max="6663" width="8.7109375" style="12" customWidth="1"/>
    <col min="6664" max="6664" width="10" style="12" customWidth="1"/>
    <col min="6665" max="6665" width="10.5703125" style="12" customWidth="1"/>
    <col min="6666" max="6666" width="9.140625" style="12"/>
    <col min="6667" max="6668" width="10.140625" style="12" customWidth="1"/>
    <col min="6669" max="6669" width="9.140625" style="12"/>
    <col min="6670" max="6670" width="10.28515625" style="12" customWidth="1"/>
    <col min="6671" max="6671" width="10.5703125" style="12" customWidth="1"/>
    <col min="6672" max="6914" width="9.140625" style="12"/>
    <col min="6915" max="6915" width="19.7109375" style="12" customWidth="1"/>
    <col min="6916" max="6916" width="22.42578125" style="12" customWidth="1"/>
    <col min="6917" max="6918" width="6.7109375" style="12" customWidth="1"/>
    <col min="6919" max="6919" width="8.7109375" style="12" customWidth="1"/>
    <col min="6920" max="6920" width="10" style="12" customWidth="1"/>
    <col min="6921" max="6921" width="10.5703125" style="12" customWidth="1"/>
    <col min="6922" max="6922" width="9.140625" style="12"/>
    <col min="6923" max="6924" width="10.140625" style="12" customWidth="1"/>
    <col min="6925" max="6925" width="9.140625" style="12"/>
    <col min="6926" max="6926" width="10.28515625" style="12" customWidth="1"/>
    <col min="6927" max="6927" width="10.5703125" style="12" customWidth="1"/>
    <col min="6928" max="7170" width="9.140625" style="12"/>
    <col min="7171" max="7171" width="19.7109375" style="12" customWidth="1"/>
    <col min="7172" max="7172" width="22.42578125" style="12" customWidth="1"/>
    <col min="7173" max="7174" width="6.7109375" style="12" customWidth="1"/>
    <col min="7175" max="7175" width="8.7109375" style="12" customWidth="1"/>
    <col min="7176" max="7176" width="10" style="12" customWidth="1"/>
    <col min="7177" max="7177" width="10.5703125" style="12" customWidth="1"/>
    <col min="7178" max="7178" width="9.140625" style="12"/>
    <col min="7179" max="7180" width="10.140625" style="12" customWidth="1"/>
    <col min="7181" max="7181" width="9.140625" style="12"/>
    <col min="7182" max="7182" width="10.28515625" style="12" customWidth="1"/>
    <col min="7183" max="7183" width="10.5703125" style="12" customWidth="1"/>
    <col min="7184" max="7426" width="9.140625" style="12"/>
    <col min="7427" max="7427" width="19.7109375" style="12" customWidth="1"/>
    <col min="7428" max="7428" width="22.42578125" style="12" customWidth="1"/>
    <col min="7429" max="7430" width="6.7109375" style="12" customWidth="1"/>
    <col min="7431" max="7431" width="8.7109375" style="12" customWidth="1"/>
    <col min="7432" max="7432" width="10" style="12" customWidth="1"/>
    <col min="7433" max="7433" width="10.5703125" style="12" customWidth="1"/>
    <col min="7434" max="7434" width="9.140625" style="12"/>
    <col min="7435" max="7436" width="10.140625" style="12" customWidth="1"/>
    <col min="7437" max="7437" width="9.140625" style="12"/>
    <col min="7438" max="7438" width="10.28515625" style="12" customWidth="1"/>
    <col min="7439" max="7439" width="10.5703125" style="12" customWidth="1"/>
    <col min="7440" max="7682" width="9.140625" style="12"/>
    <col min="7683" max="7683" width="19.7109375" style="12" customWidth="1"/>
    <col min="7684" max="7684" width="22.42578125" style="12" customWidth="1"/>
    <col min="7685" max="7686" width="6.7109375" style="12" customWidth="1"/>
    <col min="7687" max="7687" width="8.7109375" style="12" customWidth="1"/>
    <col min="7688" max="7688" width="10" style="12" customWidth="1"/>
    <col min="7689" max="7689" width="10.5703125" style="12" customWidth="1"/>
    <col min="7690" max="7690" width="9.140625" style="12"/>
    <col min="7691" max="7692" width="10.140625" style="12" customWidth="1"/>
    <col min="7693" max="7693" width="9.140625" style="12"/>
    <col min="7694" max="7694" width="10.28515625" style="12" customWidth="1"/>
    <col min="7695" max="7695" width="10.5703125" style="12" customWidth="1"/>
    <col min="7696" max="7938" width="9.140625" style="12"/>
    <col min="7939" max="7939" width="19.7109375" style="12" customWidth="1"/>
    <col min="7940" max="7940" width="22.42578125" style="12" customWidth="1"/>
    <col min="7941" max="7942" width="6.7109375" style="12" customWidth="1"/>
    <col min="7943" max="7943" width="8.7109375" style="12" customWidth="1"/>
    <col min="7944" max="7944" width="10" style="12" customWidth="1"/>
    <col min="7945" max="7945" width="10.5703125" style="12" customWidth="1"/>
    <col min="7946" max="7946" width="9.140625" style="12"/>
    <col min="7947" max="7948" width="10.140625" style="12" customWidth="1"/>
    <col min="7949" max="7949" width="9.140625" style="12"/>
    <col min="7950" max="7950" width="10.28515625" style="12" customWidth="1"/>
    <col min="7951" max="7951" width="10.5703125" style="12" customWidth="1"/>
    <col min="7952" max="8194" width="9.140625" style="12"/>
    <col min="8195" max="8195" width="19.7109375" style="12" customWidth="1"/>
    <col min="8196" max="8196" width="22.42578125" style="12" customWidth="1"/>
    <col min="8197" max="8198" width="6.7109375" style="12" customWidth="1"/>
    <col min="8199" max="8199" width="8.7109375" style="12" customWidth="1"/>
    <col min="8200" max="8200" width="10" style="12" customWidth="1"/>
    <col min="8201" max="8201" width="10.5703125" style="12" customWidth="1"/>
    <col min="8202" max="8202" width="9.140625" style="12"/>
    <col min="8203" max="8204" width="10.140625" style="12" customWidth="1"/>
    <col min="8205" max="8205" width="9.140625" style="12"/>
    <col min="8206" max="8206" width="10.28515625" style="12" customWidth="1"/>
    <col min="8207" max="8207" width="10.5703125" style="12" customWidth="1"/>
    <col min="8208" max="8450" width="9.140625" style="12"/>
    <col min="8451" max="8451" width="19.7109375" style="12" customWidth="1"/>
    <col min="8452" max="8452" width="22.42578125" style="12" customWidth="1"/>
    <col min="8453" max="8454" width="6.7109375" style="12" customWidth="1"/>
    <col min="8455" max="8455" width="8.7109375" style="12" customWidth="1"/>
    <col min="8456" max="8456" width="10" style="12" customWidth="1"/>
    <col min="8457" max="8457" width="10.5703125" style="12" customWidth="1"/>
    <col min="8458" max="8458" width="9.140625" style="12"/>
    <col min="8459" max="8460" width="10.140625" style="12" customWidth="1"/>
    <col min="8461" max="8461" width="9.140625" style="12"/>
    <col min="8462" max="8462" width="10.28515625" style="12" customWidth="1"/>
    <col min="8463" max="8463" width="10.5703125" style="12" customWidth="1"/>
    <col min="8464" max="8706" width="9.140625" style="12"/>
    <col min="8707" max="8707" width="19.7109375" style="12" customWidth="1"/>
    <col min="8708" max="8708" width="22.42578125" style="12" customWidth="1"/>
    <col min="8709" max="8710" width="6.7109375" style="12" customWidth="1"/>
    <col min="8711" max="8711" width="8.7109375" style="12" customWidth="1"/>
    <col min="8712" max="8712" width="10" style="12" customWidth="1"/>
    <col min="8713" max="8713" width="10.5703125" style="12" customWidth="1"/>
    <col min="8714" max="8714" width="9.140625" style="12"/>
    <col min="8715" max="8716" width="10.140625" style="12" customWidth="1"/>
    <col min="8717" max="8717" width="9.140625" style="12"/>
    <col min="8718" max="8718" width="10.28515625" style="12" customWidth="1"/>
    <col min="8719" max="8719" width="10.5703125" style="12" customWidth="1"/>
    <col min="8720" max="8962" width="9.140625" style="12"/>
    <col min="8963" max="8963" width="19.7109375" style="12" customWidth="1"/>
    <col min="8964" max="8964" width="22.42578125" style="12" customWidth="1"/>
    <col min="8965" max="8966" width="6.7109375" style="12" customWidth="1"/>
    <col min="8967" max="8967" width="8.7109375" style="12" customWidth="1"/>
    <col min="8968" max="8968" width="10" style="12" customWidth="1"/>
    <col min="8969" max="8969" width="10.5703125" style="12" customWidth="1"/>
    <col min="8970" max="8970" width="9.140625" style="12"/>
    <col min="8971" max="8972" width="10.140625" style="12" customWidth="1"/>
    <col min="8973" max="8973" width="9.140625" style="12"/>
    <col min="8974" max="8974" width="10.28515625" style="12" customWidth="1"/>
    <col min="8975" max="8975" width="10.5703125" style="12" customWidth="1"/>
    <col min="8976" max="9218" width="9.140625" style="12"/>
    <col min="9219" max="9219" width="19.7109375" style="12" customWidth="1"/>
    <col min="9220" max="9220" width="22.42578125" style="12" customWidth="1"/>
    <col min="9221" max="9222" width="6.7109375" style="12" customWidth="1"/>
    <col min="9223" max="9223" width="8.7109375" style="12" customWidth="1"/>
    <col min="9224" max="9224" width="10" style="12" customWidth="1"/>
    <col min="9225" max="9225" width="10.5703125" style="12" customWidth="1"/>
    <col min="9226" max="9226" width="9.140625" style="12"/>
    <col min="9227" max="9228" width="10.140625" style="12" customWidth="1"/>
    <col min="9229" max="9229" width="9.140625" style="12"/>
    <col min="9230" max="9230" width="10.28515625" style="12" customWidth="1"/>
    <col min="9231" max="9231" width="10.5703125" style="12" customWidth="1"/>
    <col min="9232" max="9474" width="9.140625" style="12"/>
    <col min="9475" max="9475" width="19.7109375" style="12" customWidth="1"/>
    <col min="9476" max="9476" width="22.42578125" style="12" customWidth="1"/>
    <col min="9477" max="9478" width="6.7109375" style="12" customWidth="1"/>
    <col min="9479" max="9479" width="8.7109375" style="12" customWidth="1"/>
    <col min="9480" max="9480" width="10" style="12" customWidth="1"/>
    <col min="9481" max="9481" width="10.5703125" style="12" customWidth="1"/>
    <col min="9482" max="9482" width="9.140625" style="12"/>
    <col min="9483" max="9484" width="10.140625" style="12" customWidth="1"/>
    <col min="9485" max="9485" width="9.140625" style="12"/>
    <col min="9486" max="9486" width="10.28515625" style="12" customWidth="1"/>
    <col min="9487" max="9487" width="10.5703125" style="12" customWidth="1"/>
    <col min="9488" max="9730" width="9.140625" style="12"/>
    <col min="9731" max="9731" width="19.7109375" style="12" customWidth="1"/>
    <col min="9732" max="9732" width="22.42578125" style="12" customWidth="1"/>
    <col min="9733" max="9734" width="6.7109375" style="12" customWidth="1"/>
    <col min="9735" max="9735" width="8.7109375" style="12" customWidth="1"/>
    <col min="9736" max="9736" width="10" style="12" customWidth="1"/>
    <col min="9737" max="9737" width="10.5703125" style="12" customWidth="1"/>
    <col min="9738" max="9738" width="9.140625" style="12"/>
    <col min="9739" max="9740" width="10.140625" style="12" customWidth="1"/>
    <col min="9741" max="9741" width="9.140625" style="12"/>
    <col min="9742" max="9742" width="10.28515625" style="12" customWidth="1"/>
    <col min="9743" max="9743" width="10.5703125" style="12" customWidth="1"/>
    <col min="9744" max="9986" width="9.140625" style="12"/>
    <col min="9987" max="9987" width="19.7109375" style="12" customWidth="1"/>
    <col min="9988" max="9988" width="22.42578125" style="12" customWidth="1"/>
    <col min="9989" max="9990" width="6.7109375" style="12" customWidth="1"/>
    <col min="9991" max="9991" width="8.7109375" style="12" customWidth="1"/>
    <col min="9992" max="9992" width="10" style="12" customWidth="1"/>
    <col min="9993" max="9993" width="10.5703125" style="12" customWidth="1"/>
    <col min="9994" max="9994" width="9.140625" style="12"/>
    <col min="9995" max="9996" width="10.140625" style="12" customWidth="1"/>
    <col min="9997" max="9997" width="9.140625" style="12"/>
    <col min="9998" max="9998" width="10.28515625" style="12" customWidth="1"/>
    <col min="9999" max="9999" width="10.5703125" style="12" customWidth="1"/>
    <col min="10000" max="10242" width="9.140625" style="12"/>
    <col min="10243" max="10243" width="19.7109375" style="12" customWidth="1"/>
    <col min="10244" max="10244" width="22.42578125" style="12" customWidth="1"/>
    <col min="10245" max="10246" width="6.7109375" style="12" customWidth="1"/>
    <col min="10247" max="10247" width="8.7109375" style="12" customWidth="1"/>
    <col min="10248" max="10248" width="10" style="12" customWidth="1"/>
    <col min="10249" max="10249" width="10.5703125" style="12" customWidth="1"/>
    <col min="10250" max="10250" width="9.140625" style="12"/>
    <col min="10251" max="10252" width="10.140625" style="12" customWidth="1"/>
    <col min="10253" max="10253" width="9.140625" style="12"/>
    <col min="10254" max="10254" width="10.28515625" style="12" customWidth="1"/>
    <col min="10255" max="10255" width="10.5703125" style="12" customWidth="1"/>
    <col min="10256" max="10498" width="9.140625" style="12"/>
    <col min="10499" max="10499" width="19.7109375" style="12" customWidth="1"/>
    <col min="10500" max="10500" width="22.42578125" style="12" customWidth="1"/>
    <col min="10501" max="10502" width="6.7109375" style="12" customWidth="1"/>
    <col min="10503" max="10503" width="8.7109375" style="12" customWidth="1"/>
    <col min="10504" max="10504" width="10" style="12" customWidth="1"/>
    <col min="10505" max="10505" width="10.5703125" style="12" customWidth="1"/>
    <col min="10506" max="10506" width="9.140625" style="12"/>
    <col min="10507" max="10508" width="10.140625" style="12" customWidth="1"/>
    <col min="10509" max="10509" width="9.140625" style="12"/>
    <col min="10510" max="10510" width="10.28515625" style="12" customWidth="1"/>
    <col min="10511" max="10511" width="10.5703125" style="12" customWidth="1"/>
    <col min="10512" max="10754" width="9.140625" style="12"/>
    <col min="10755" max="10755" width="19.7109375" style="12" customWidth="1"/>
    <col min="10756" max="10756" width="22.42578125" style="12" customWidth="1"/>
    <col min="10757" max="10758" width="6.7109375" style="12" customWidth="1"/>
    <col min="10759" max="10759" width="8.7109375" style="12" customWidth="1"/>
    <col min="10760" max="10760" width="10" style="12" customWidth="1"/>
    <col min="10761" max="10761" width="10.5703125" style="12" customWidth="1"/>
    <col min="10762" max="10762" width="9.140625" style="12"/>
    <col min="10763" max="10764" width="10.140625" style="12" customWidth="1"/>
    <col min="10765" max="10765" width="9.140625" style="12"/>
    <col min="10766" max="10766" width="10.28515625" style="12" customWidth="1"/>
    <col min="10767" max="10767" width="10.5703125" style="12" customWidth="1"/>
    <col min="10768" max="11010" width="9.140625" style="12"/>
    <col min="11011" max="11011" width="19.7109375" style="12" customWidth="1"/>
    <col min="11012" max="11012" width="22.42578125" style="12" customWidth="1"/>
    <col min="11013" max="11014" width="6.7109375" style="12" customWidth="1"/>
    <col min="11015" max="11015" width="8.7109375" style="12" customWidth="1"/>
    <col min="11016" max="11016" width="10" style="12" customWidth="1"/>
    <col min="11017" max="11017" width="10.5703125" style="12" customWidth="1"/>
    <col min="11018" max="11018" width="9.140625" style="12"/>
    <col min="11019" max="11020" width="10.140625" style="12" customWidth="1"/>
    <col min="11021" max="11021" width="9.140625" style="12"/>
    <col min="11022" max="11022" width="10.28515625" style="12" customWidth="1"/>
    <col min="11023" max="11023" width="10.5703125" style="12" customWidth="1"/>
    <col min="11024" max="11266" width="9.140625" style="12"/>
    <col min="11267" max="11267" width="19.7109375" style="12" customWidth="1"/>
    <col min="11268" max="11268" width="22.42578125" style="12" customWidth="1"/>
    <col min="11269" max="11270" width="6.7109375" style="12" customWidth="1"/>
    <col min="11271" max="11271" width="8.7109375" style="12" customWidth="1"/>
    <col min="11272" max="11272" width="10" style="12" customWidth="1"/>
    <col min="11273" max="11273" width="10.5703125" style="12" customWidth="1"/>
    <col min="11274" max="11274" width="9.140625" style="12"/>
    <col min="11275" max="11276" width="10.140625" style="12" customWidth="1"/>
    <col min="11277" max="11277" width="9.140625" style="12"/>
    <col min="11278" max="11278" width="10.28515625" style="12" customWidth="1"/>
    <col min="11279" max="11279" width="10.5703125" style="12" customWidth="1"/>
    <col min="11280" max="11522" width="9.140625" style="12"/>
    <col min="11523" max="11523" width="19.7109375" style="12" customWidth="1"/>
    <col min="11524" max="11524" width="22.42578125" style="12" customWidth="1"/>
    <col min="11525" max="11526" width="6.7109375" style="12" customWidth="1"/>
    <col min="11527" max="11527" width="8.7109375" style="12" customWidth="1"/>
    <col min="11528" max="11528" width="10" style="12" customWidth="1"/>
    <col min="11529" max="11529" width="10.5703125" style="12" customWidth="1"/>
    <col min="11530" max="11530" width="9.140625" style="12"/>
    <col min="11531" max="11532" width="10.140625" style="12" customWidth="1"/>
    <col min="11533" max="11533" width="9.140625" style="12"/>
    <col min="11534" max="11534" width="10.28515625" style="12" customWidth="1"/>
    <col min="11535" max="11535" width="10.5703125" style="12" customWidth="1"/>
    <col min="11536" max="11778" width="9.140625" style="12"/>
    <col min="11779" max="11779" width="19.7109375" style="12" customWidth="1"/>
    <col min="11780" max="11780" width="22.42578125" style="12" customWidth="1"/>
    <col min="11781" max="11782" width="6.7109375" style="12" customWidth="1"/>
    <col min="11783" max="11783" width="8.7109375" style="12" customWidth="1"/>
    <col min="11784" max="11784" width="10" style="12" customWidth="1"/>
    <col min="11785" max="11785" width="10.5703125" style="12" customWidth="1"/>
    <col min="11786" max="11786" width="9.140625" style="12"/>
    <col min="11787" max="11788" width="10.140625" style="12" customWidth="1"/>
    <col min="11789" max="11789" width="9.140625" style="12"/>
    <col min="11790" max="11790" width="10.28515625" style="12" customWidth="1"/>
    <col min="11791" max="11791" width="10.5703125" style="12" customWidth="1"/>
    <col min="11792" max="12034" width="9.140625" style="12"/>
    <col min="12035" max="12035" width="19.7109375" style="12" customWidth="1"/>
    <col min="12036" max="12036" width="22.42578125" style="12" customWidth="1"/>
    <col min="12037" max="12038" width="6.7109375" style="12" customWidth="1"/>
    <col min="12039" max="12039" width="8.7109375" style="12" customWidth="1"/>
    <col min="12040" max="12040" width="10" style="12" customWidth="1"/>
    <col min="12041" max="12041" width="10.5703125" style="12" customWidth="1"/>
    <col min="12042" max="12042" width="9.140625" style="12"/>
    <col min="12043" max="12044" width="10.140625" style="12" customWidth="1"/>
    <col min="12045" max="12045" width="9.140625" style="12"/>
    <col min="12046" max="12046" width="10.28515625" style="12" customWidth="1"/>
    <col min="12047" max="12047" width="10.5703125" style="12" customWidth="1"/>
    <col min="12048" max="12290" width="9.140625" style="12"/>
    <col min="12291" max="12291" width="19.7109375" style="12" customWidth="1"/>
    <col min="12292" max="12292" width="22.42578125" style="12" customWidth="1"/>
    <col min="12293" max="12294" width="6.7109375" style="12" customWidth="1"/>
    <col min="12295" max="12295" width="8.7109375" style="12" customWidth="1"/>
    <col min="12296" max="12296" width="10" style="12" customWidth="1"/>
    <col min="12297" max="12297" width="10.5703125" style="12" customWidth="1"/>
    <col min="12298" max="12298" width="9.140625" style="12"/>
    <col min="12299" max="12300" width="10.140625" style="12" customWidth="1"/>
    <col min="12301" max="12301" width="9.140625" style="12"/>
    <col min="12302" max="12302" width="10.28515625" style="12" customWidth="1"/>
    <col min="12303" max="12303" width="10.5703125" style="12" customWidth="1"/>
    <col min="12304" max="12546" width="9.140625" style="12"/>
    <col min="12547" max="12547" width="19.7109375" style="12" customWidth="1"/>
    <col min="12548" max="12548" width="22.42578125" style="12" customWidth="1"/>
    <col min="12549" max="12550" width="6.7109375" style="12" customWidth="1"/>
    <col min="12551" max="12551" width="8.7109375" style="12" customWidth="1"/>
    <col min="12552" max="12552" width="10" style="12" customWidth="1"/>
    <col min="12553" max="12553" width="10.5703125" style="12" customWidth="1"/>
    <col min="12554" max="12554" width="9.140625" style="12"/>
    <col min="12555" max="12556" width="10.140625" style="12" customWidth="1"/>
    <col min="12557" max="12557" width="9.140625" style="12"/>
    <col min="12558" max="12558" width="10.28515625" style="12" customWidth="1"/>
    <col min="12559" max="12559" width="10.5703125" style="12" customWidth="1"/>
    <col min="12560" max="12802" width="9.140625" style="12"/>
    <col min="12803" max="12803" width="19.7109375" style="12" customWidth="1"/>
    <col min="12804" max="12804" width="22.42578125" style="12" customWidth="1"/>
    <col min="12805" max="12806" width="6.7109375" style="12" customWidth="1"/>
    <col min="12807" max="12807" width="8.7109375" style="12" customWidth="1"/>
    <col min="12808" max="12808" width="10" style="12" customWidth="1"/>
    <col min="12809" max="12809" width="10.5703125" style="12" customWidth="1"/>
    <col min="12810" max="12810" width="9.140625" style="12"/>
    <col min="12811" max="12812" width="10.140625" style="12" customWidth="1"/>
    <col min="12813" max="12813" width="9.140625" style="12"/>
    <col min="12814" max="12814" width="10.28515625" style="12" customWidth="1"/>
    <col min="12815" max="12815" width="10.5703125" style="12" customWidth="1"/>
    <col min="12816" max="13058" width="9.140625" style="12"/>
    <col min="13059" max="13059" width="19.7109375" style="12" customWidth="1"/>
    <col min="13060" max="13060" width="22.42578125" style="12" customWidth="1"/>
    <col min="13061" max="13062" width="6.7109375" style="12" customWidth="1"/>
    <col min="13063" max="13063" width="8.7109375" style="12" customWidth="1"/>
    <col min="13064" max="13064" width="10" style="12" customWidth="1"/>
    <col min="13065" max="13065" width="10.5703125" style="12" customWidth="1"/>
    <col min="13066" max="13066" width="9.140625" style="12"/>
    <col min="13067" max="13068" width="10.140625" style="12" customWidth="1"/>
    <col min="13069" max="13069" width="9.140625" style="12"/>
    <col min="13070" max="13070" width="10.28515625" style="12" customWidth="1"/>
    <col min="13071" max="13071" width="10.5703125" style="12" customWidth="1"/>
    <col min="13072" max="13314" width="9.140625" style="12"/>
    <col min="13315" max="13315" width="19.7109375" style="12" customWidth="1"/>
    <col min="13316" max="13316" width="22.42578125" style="12" customWidth="1"/>
    <col min="13317" max="13318" width="6.7109375" style="12" customWidth="1"/>
    <col min="13319" max="13319" width="8.7109375" style="12" customWidth="1"/>
    <col min="13320" max="13320" width="10" style="12" customWidth="1"/>
    <col min="13321" max="13321" width="10.5703125" style="12" customWidth="1"/>
    <col min="13322" max="13322" width="9.140625" style="12"/>
    <col min="13323" max="13324" width="10.140625" style="12" customWidth="1"/>
    <col min="13325" max="13325" width="9.140625" style="12"/>
    <col min="13326" max="13326" width="10.28515625" style="12" customWidth="1"/>
    <col min="13327" max="13327" width="10.5703125" style="12" customWidth="1"/>
    <col min="13328" max="13570" width="9.140625" style="12"/>
    <col min="13571" max="13571" width="19.7109375" style="12" customWidth="1"/>
    <col min="13572" max="13572" width="22.42578125" style="12" customWidth="1"/>
    <col min="13573" max="13574" width="6.7109375" style="12" customWidth="1"/>
    <col min="13575" max="13575" width="8.7109375" style="12" customWidth="1"/>
    <col min="13576" max="13576" width="10" style="12" customWidth="1"/>
    <col min="13577" max="13577" width="10.5703125" style="12" customWidth="1"/>
    <col min="13578" max="13578" width="9.140625" style="12"/>
    <col min="13579" max="13580" width="10.140625" style="12" customWidth="1"/>
    <col min="13581" max="13581" width="9.140625" style="12"/>
    <col min="13582" max="13582" width="10.28515625" style="12" customWidth="1"/>
    <col min="13583" max="13583" width="10.5703125" style="12" customWidth="1"/>
    <col min="13584" max="13826" width="9.140625" style="12"/>
    <col min="13827" max="13827" width="19.7109375" style="12" customWidth="1"/>
    <col min="13828" max="13828" width="22.42578125" style="12" customWidth="1"/>
    <col min="13829" max="13830" width="6.7109375" style="12" customWidth="1"/>
    <col min="13831" max="13831" width="8.7109375" style="12" customWidth="1"/>
    <col min="13832" max="13832" width="10" style="12" customWidth="1"/>
    <col min="13833" max="13833" width="10.5703125" style="12" customWidth="1"/>
    <col min="13834" max="13834" width="9.140625" style="12"/>
    <col min="13835" max="13836" width="10.140625" style="12" customWidth="1"/>
    <col min="13837" max="13837" width="9.140625" style="12"/>
    <col min="13838" max="13838" width="10.28515625" style="12" customWidth="1"/>
    <col min="13839" max="13839" width="10.5703125" style="12" customWidth="1"/>
    <col min="13840" max="14082" width="9.140625" style="12"/>
    <col min="14083" max="14083" width="19.7109375" style="12" customWidth="1"/>
    <col min="14084" max="14084" width="22.42578125" style="12" customWidth="1"/>
    <col min="14085" max="14086" width="6.7109375" style="12" customWidth="1"/>
    <col min="14087" max="14087" width="8.7109375" style="12" customWidth="1"/>
    <col min="14088" max="14088" width="10" style="12" customWidth="1"/>
    <col min="14089" max="14089" width="10.5703125" style="12" customWidth="1"/>
    <col min="14090" max="14090" width="9.140625" style="12"/>
    <col min="14091" max="14092" width="10.140625" style="12" customWidth="1"/>
    <col min="14093" max="14093" width="9.140625" style="12"/>
    <col min="14094" max="14094" width="10.28515625" style="12" customWidth="1"/>
    <col min="14095" max="14095" width="10.5703125" style="12" customWidth="1"/>
    <col min="14096" max="14338" width="9.140625" style="12"/>
    <col min="14339" max="14339" width="19.7109375" style="12" customWidth="1"/>
    <col min="14340" max="14340" width="22.42578125" style="12" customWidth="1"/>
    <col min="14341" max="14342" width="6.7109375" style="12" customWidth="1"/>
    <col min="14343" max="14343" width="8.7109375" style="12" customWidth="1"/>
    <col min="14344" max="14344" width="10" style="12" customWidth="1"/>
    <col min="14345" max="14345" width="10.5703125" style="12" customWidth="1"/>
    <col min="14346" max="14346" width="9.140625" style="12"/>
    <col min="14347" max="14348" width="10.140625" style="12" customWidth="1"/>
    <col min="14349" max="14349" width="9.140625" style="12"/>
    <col min="14350" max="14350" width="10.28515625" style="12" customWidth="1"/>
    <col min="14351" max="14351" width="10.5703125" style="12" customWidth="1"/>
    <col min="14352" max="14594" width="9.140625" style="12"/>
    <col min="14595" max="14595" width="19.7109375" style="12" customWidth="1"/>
    <col min="14596" max="14596" width="22.42578125" style="12" customWidth="1"/>
    <col min="14597" max="14598" width="6.7109375" style="12" customWidth="1"/>
    <col min="14599" max="14599" width="8.7109375" style="12" customWidth="1"/>
    <col min="14600" max="14600" width="10" style="12" customWidth="1"/>
    <col min="14601" max="14601" width="10.5703125" style="12" customWidth="1"/>
    <col min="14602" max="14602" width="9.140625" style="12"/>
    <col min="14603" max="14604" width="10.140625" style="12" customWidth="1"/>
    <col min="14605" max="14605" width="9.140625" style="12"/>
    <col min="14606" max="14606" width="10.28515625" style="12" customWidth="1"/>
    <col min="14607" max="14607" width="10.5703125" style="12" customWidth="1"/>
    <col min="14608" max="14850" width="9.140625" style="12"/>
    <col min="14851" max="14851" width="19.7109375" style="12" customWidth="1"/>
    <col min="14852" max="14852" width="22.42578125" style="12" customWidth="1"/>
    <col min="14853" max="14854" width="6.7109375" style="12" customWidth="1"/>
    <col min="14855" max="14855" width="8.7109375" style="12" customWidth="1"/>
    <col min="14856" max="14856" width="10" style="12" customWidth="1"/>
    <col min="14857" max="14857" width="10.5703125" style="12" customWidth="1"/>
    <col min="14858" max="14858" width="9.140625" style="12"/>
    <col min="14859" max="14860" width="10.140625" style="12" customWidth="1"/>
    <col min="14861" max="14861" width="9.140625" style="12"/>
    <col min="14862" max="14862" width="10.28515625" style="12" customWidth="1"/>
    <col min="14863" max="14863" width="10.5703125" style="12" customWidth="1"/>
    <col min="14864" max="15106" width="9.140625" style="12"/>
    <col min="15107" max="15107" width="19.7109375" style="12" customWidth="1"/>
    <col min="15108" max="15108" width="22.42578125" style="12" customWidth="1"/>
    <col min="15109" max="15110" width="6.7109375" style="12" customWidth="1"/>
    <col min="15111" max="15111" width="8.7109375" style="12" customWidth="1"/>
    <col min="15112" max="15112" width="10" style="12" customWidth="1"/>
    <col min="15113" max="15113" width="10.5703125" style="12" customWidth="1"/>
    <col min="15114" max="15114" width="9.140625" style="12"/>
    <col min="15115" max="15116" width="10.140625" style="12" customWidth="1"/>
    <col min="15117" max="15117" width="9.140625" style="12"/>
    <col min="15118" max="15118" width="10.28515625" style="12" customWidth="1"/>
    <col min="15119" max="15119" width="10.5703125" style="12" customWidth="1"/>
    <col min="15120" max="15362" width="9.140625" style="12"/>
    <col min="15363" max="15363" width="19.7109375" style="12" customWidth="1"/>
    <col min="15364" max="15364" width="22.42578125" style="12" customWidth="1"/>
    <col min="15365" max="15366" width="6.7109375" style="12" customWidth="1"/>
    <col min="15367" max="15367" width="8.7109375" style="12" customWidth="1"/>
    <col min="15368" max="15368" width="10" style="12" customWidth="1"/>
    <col min="15369" max="15369" width="10.5703125" style="12" customWidth="1"/>
    <col min="15370" max="15370" width="9.140625" style="12"/>
    <col min="15371" max="15372" width="10.140625" style="12" customWidth="1"/>
    <col min="15373" max="15373" width="9.140625" style="12"/>
    <col min="15374" max="15374" width="10.28515625" style="12" customWidth="1"/>
    <col min="15375" max="15375" width="10.5703125" style="12" customWidth="1"/>
    <col min="15376" max="15618" width="9.140625" style="12"/>
    <col min="15619" max="15619" width="19.7109375" style="12" customWidth="1"/>
    <col min="15620" max="15620" width="22.42578125" style="12" customWidth="1"/>
    <col min="15621" max="15622" width="6.7109375" style="12" customWidth="1"/>
    <col min="15623" max="15623" width="8.7109375" style="12" customWidth="1"/>
    <col min="15624" max="15624" width="10" style="12" customWidth="1"/>
    <col min="15625" max="15625" width="10.5703125" style="12" customWidth="1"/>
    <col min="15626" max="15626" width="9.140625" style="12"/>
    <col min="15627" max="15628" width="10.140625" style="12" customWidth="1"/>
    <col min="15629" max="15629" width="9.140625" style="12"/>
    <col min="15630" max="15630" width="10.28515625" style="12" customWidth="1"/>
    <col min="15631" max="15631" width="10.5703125" style="12" customWidth="1"/>
    <col min="15632" max="15874" width="9.140625" style="12"/>
    <col min="15875" max="15875" width="19.7109375" style="12" customWidth="1"/>
    <col min="15876" max="15876" width="22.42578125" style="12" customWidth="1"/>
    <col min="15877" max="15878" width="6.7109375" style="12" customWidth="1"/>
    <col min="15879" max="15879" width="8.7109375" style="12" customWidth="1"/>
    <col min="15880" max="15880" width="10" style="12" customWidth="1"/>
    <col min="15881" max="15881" width="10.5703125" style="12" customWidth="1"/>
    <col min="15882" max="15882" width="9.140625" style="12"/>
    <col min="15883" max="15884" width="10.140625" style="12" customWidth="1"/>
    <col min="15885" max="15885" width="9.140625" style="12"/>
    <col min="15886" max="15886" width="10.28515625" style="12" customWidth="1"/>
    <col min="15887" max="15887" width="10.5703125" style="12" customWidth="1"/>
    <col min="15888" max="16130" width="9.140625" style="12"/>
    <col min="16131" max="16131" width="19.7109375" style="12" customWidth="1"/>
    <col min="16132" max="16132" width="22.42578125" style="12" customWidth="1"/>
    <col min="16133" max="16134" width="6.7109375" style="12" customWidth="1"/>
    <col min="16135" max="16135" width="8.7109375" style="12" customWidth="1"/>
    <col min="16136" max="16136" width="10" style="12" customWidth="1"/>
    <col min="16137" max="16137" width="10.5703125" style="12" customWidth="1"/>
    <col min="16138" max="16138" width="9.140625" style="12"/>
    <col min="16139" max="16140" width="10.140625" style="12" customWidth="1"/>
    <col min="16141" max="16141" width="9.140625" style="12"/>
    <col min="16142" max="16142" width="10.28515625" style="12" customWidth="1"/>
    <col min="16143" max="16143" width="10.5703125" style="12" customWidth="1"/>
    <col min="16144" max="16384" width="9.140625" style="12"/>
  </cols>
  <sheetData>
    <row r="1" spans="1:16" ht="15">
      <c r="B1" s="183" t="s">
        <v>10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29.25" customHeight="1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>
      <c r="P3" s="13" t="s">
        <v>9</v>
      </c>
    </row>
    <row r="4" spans="1:16" ht="30" customHeight="1">
      <c r="A4" s="166" t="s">
        <v>0</v>
      </c>
      <c r="B4" s="166" t="s">
        <v>12</v>
      </c>
      <c r="C4" s="166" t="s">
        <v>1</v>
      </c>
      <c r="D4" s="166"/>
      <c r="E4" s="166"/>
      <c r="F4" s="184" t="s">
        <v>76</v>
      </c>
      <c r="G4" s="168" t="s">
        <v>132</v>
      </c>
      <c r="H4" s="168"/>
      <c r="I4" s="168"/>
      <c r="J4" s="168" t="s">
        <v>133</v>
      </c>
      <c r="K4" s="168"/>
      <c r="L4" s="168"/>
      <c r="M4" s="168" t="s">
        <v>134</v>
      </c>
      <c r="N4" s="168"/>
      <c r="O4" s="168"/>
      <c r="P4" s="161" t="s">
        <v>104</v>
      </c>
    </row>
    <row r="5" spans="1:16">
      <c r="A5" s="166"/>
      <c r="B5" s="166"/>
      <c r="C5" s="166" t="s">
        <v>2</v>
      </c>
      <c r="D5" s="166" t="s">
        <v>3</v>
      </c>
      <c r="E5" s="166" t="s">
        <v>4</v>
      </c>
      <c r="F5" s="185"/>
      <c r="G5" s="169" t="s">
        <v>5</v>
      </c>
      <c r="H5" s="171" t="s">
        <v>11</v>
      </c>
      <c r="I5" s="172"/>
      <c r="J5" s="169" t="s">
        <v>5</v>
      </c>
      <c r="K5" s="171" t="s">
        <v>11</v>
      </c>
      <c r="L5" s="172"/>
      <c r="M5" s="169" t="s">
        <v>5</v>
      </c>
      <c r="N5" s="171" t="s">
        <v>11</v>
      </c>
      <c r="O5" s="172"/>
      <c r="P5" s="162"/>
    </row>
    <row r="6" spans="1:16" ht="42.75" customHeight="1">
      <c r="A6" s="166"/>
      <c r="B6" s="166"/>
      <c r="C6" s="166"/>
      <c r="D6" s="166"/>
      <c r="E6" s="166"/>
      <c r="F6" s="186"/>
      <c r="G6" s="169"/>
      <c r="H6" s="14" t="s">
        <v>6</v>
      </c>
      <c r="I6" s="14" t="s">
        <v>7</v>
      </c>
      <c r="J6" s="169"/>
      <c r="K6" s="14" t="s">
        <v>6</v>
      </c>
      <c r="L6" s="14" t="s">
        <v>7</v>
      </c>
      <c r="M6" s="169"/>
      <c r="N6" s="14" t="s">
        <v>6</v>
      </c>
      <c r="O6" s="14" t="s">
        <v>7</v>
      </c>
      <c r="P6" s="163"/>
    </row>
    <row r="7" spans="1:16" ht="15">
      <c r="A7" s="234">
        <v>1</v>
      </c>
      <c r="B7" s="235" t="s">
        <v>49</v>
      </c>
      <c r="C7" s="247" t="s">
        <v>50</v>
      </c>
      <c r="D7" s="248">
        <v>13</v>
      </c>
      <c r="E7" s="248"/>
      <c r="F7" s="249">
        <f>[1]МКД!$H$179</f>
        <v>70</v>
      </c>
      <c r="G7" s="229">
        <f>I7+H7</f>
        <v>1940</v>
      </c>
      <c r="H7" s="229">
        <v>1055</v>
      </c>
      <c r="I7" s="229">
        <v>885</v>
      </c>
      <c r="J7" s="229">
        <f>L7+K7</f>
        <v>1750</v>
      </c>
      <c r="K7" s="229">
        <v>974</v>
      </c>
      <c r="L7" s="230">
        <v>776</v>
      </c>
      <c r="M7" s="250">
        <f>O7+N7</f>
        <v>1800</v>
      </c>
      <c r="N7" s="250">
        <v>1050</v>
      </c>
      <c r="O7" s="250">
        <v>750</v>
      </c>
      <c r="P7" s="251">
        <f>M7/F7</f>
        <v>25.714285714285715</v>
      </c>
    </row>
    <row r="8" spans="1:16" ht="15">
      <c r="A8" s="234">
        <f>1+A7</f>
        <v>2</v>
      </c>
      <c r="B8" s="235" t="s">
        <v>49</v>
      </c>
      <c r="C8" s="235" t="s">
        <v>16</v>
      </c>
      <c r="D8" s="236">
        <v>31</v>
      </c>
      <c r="E8" s="236" t="s">
        <v>17</v>
      </c>
      <c r="F8" s="147">
        <f>[1]МКД!$H$169</f>
        <v>60</v>
      </c>
      <c r="G8" s="229">
        <f>I8+H8</f>
        <v>795</v>
      </c>
      <c r="H8" s="229">
        <v>273</v>
      </c>
      <c r="I8" s="229">
        <v>522</v>
      </c>
      <c r="J8" s="229">
        <f>L8+K8</f>
        <v>820</v>
      </c>
      <c r="K8" s="229">
        <v>300</v>
      </c>
      <c r="L8" s="229">
        <v>520</v>
      </c>
      <c r="M8" s="229">
        <f>O8+N8</f>
        <v>815</v>
      </c>
      <c r="N8" s="229">
        <v>345</v>
      </c>
      <c r="O8" s="229">
        <v>470</v>
      </c>
      <c r="P8" s="237">
        <f>M8/F8</f>
        <v>13.583333333333334</v>
      </c>
    </row>
    <row r="9" spans="1:16" ht="15">
      <c r="A9" s="234">
        <f t="shared" ref="A9:A23" si="0">1+A8</f>
        <v>3</v>
      </c>
      <c r="B9" s="235" t="s">
        <v>49</v>
      </c>
      <c r="C9" s="235" t="s">
        <v>16</v>
      </c>
      <c r="D9" s="236">
        <v>33</v>
      </c>
      <c r="E9" s="236"/>
      <c r="F9" s="147">
        <f>[1]МКД!$H$170</f>
        <v>60</v>
      </c>
      <c r="G9" s="229">
        <f>I9+H9</f>
        <v>703</v>
      </c>
      <c r="H9" s="229">
        <v>301</v>
      </c>
      <c r="I9" s="229">
        <v>402</v>
      </c>
      <c r="J9" s="229">
        <f>L9+K9</f>
        <v>742</v>
      </c>
      <c r="K9" s="229">
        <v>337</v>
      </c>
      <c r="L9" s="229">
        <v>405</v>
      </c>
      <c r="M9" s="229">
        <f>O9+N9</f>
        <v>645</v>
      </c>
      <c r="N9" s="229">
        <v>355</v>
      </c>
      <c r="O9" s="229">
        <v>290</v>
      </c>
      <c r="P9" s="237">
        <f>M9/F9</f>
        <v>10.75</v>
      </c>
    </row>
    <row r="10" spans="1:16" ht="15">
      <c r="A10" s="234">
        <f t="shared" si="0"/>
        <v>4</v>
      </c>
      <c r="B10" s="235" t="s">
        <v>49</v>
      </c>
      <c r="C10" s="235" t="s">
        <v>52</v>
      </c>
      <c r="D10" s="236">
        <v>21</v>
      </c>
      <c r="E10" s="236">
        <v>2</v>
      </c>
      <c r="F10" s="147">
        <f>[1]МКД!$H$177</f>
        <v>35</v>
      </c>
      <c r="G10" s="229">
        <f>I10+H10</f>
        <v>629</v>
      </c>
      <c r="H10" s="229">
        <v>488</v>
      </c>
      <c r="I10" s="229">
        <v>141</v>
      </c>
      <c r="J10" s="229">
        <f>L10+K10</f>
        <v>612.98</v>
      </c>
      <c r="K10" s="229">
        <v>487</v>
      </c>
      <c r="L10" s="229">
        <v>125.98</v>
      </c>
      <c r="M10" s="229">
        <f>O10+N10</f>
        <v>590</v>
      </c>
      <c r="N10" s="229">
        <v>350</v>
      </c>
      <c r="O10" s="229">
        <v>240</v>
      </c>
      <c r="P10" s="237">
        <f>M10/F10</f>
        <v>16.857142857142858</v>
      </c>
    </row>
    <row r="11" spans="1:16" ht="15">
      <c r="A11" s="234">
        <f t="shared" si="0"/>
        <v>5</v>
      </c>
      <c r="B11" s="235" t="s">
        <v>49</v>
      </c>
      <c r="C11" s="235" t="s">
        <v>16</v>
      </c>
      <c r="D11" s="236">
        <v>41</v>
      </c>
      <c r="E11" s="236" t="s">
        <v>17</v>
      </c>
      <c r="F11" s="147">
        <f>[1]МКД!$H$173</f>
        <v>46</v>
      </c>
      <c r="G11" s="229">
        <f>I11+H11</f>
        <v>444</v>
      </c>
      <c r="H11" s="229">
        <v>249</v>
      </c>
      <c r="I11" s="229">
        <v>195</v>
      </c>
      <c r="J11" s="229">
        <f>L11+K11</f>
        <v>532</v>
      </c>
      <c r="K11" s="229">
        <v>270</v>
      </c>
      <c r="L11" s="230">
        <v>262</v>
      </c>
      <c r="M11" s="229">
        <f>O11+N11</f>
        <v>515</v>
      </c>
      <c r="N11" s="229">
        <v>310</v>
      </c>
      <c r="O11" s="230">
        <v>205</v>
      </c>
      <c r="P11" s="237">
        <f>M11/F11</f>
        <v>11.195652173913043</v>
      </c>
    </row>
    <row r="12" spans="1:16" ht="15">
      <c r="A12" s="234">
        <f t="shared" si="0"/>
        <v>6</v>
      </c>
      <c r="B12" s="235" t="s">
        <v>49</v>
      </c>
      <c r="C12" s="235" t="s">
        <v>51</v>
      </c>
      <c r="D12" s="236">
        <v>11</v>
      </c>
      <c r="E12" s="236"/>
      <c r="F12" s="147">
        <f>[1]МКД!$H$174</f>
        <v>48</v>
      </c>
      <c r="G12" s="229">
        <f>I12+H12</f>
        <v>558</v>
      </c>
      <c r="H12" s="229">
        <v>207</v>
      </c>
      <c r="I12" s="229">
        <v>351</v>
      </c>
      <c r="J12" s="229">
        <f>L12+K12</f>
        <v>576</v>
      </c>
      <c r="K12" s="229">
        <v>229</v>
      </c>
      <c r="L12" s="229">
        <v>347</v>
      </c>
      <c r="M12" s="229">
        <f>O12+N12</f>
        <v>475</v>
      </c>
      <c r="N12" s="229">
        <v>210</v>
      </c>
      <c r="O12" s="229">
        <v>265</v>
      </c>
      <c r="P12" s="237">
        <f>M12/F12</f>
        <v>9.8958333333333339</v>
      </c>
    </row>
    <row r="13" spans="1:16" ht="15">
      <c r="A13" s="234">
        <f t="shared" si="0"/>
        <v>7</v>
      </c>
      <c r="B13" s="235" t="s">
        <v>49</v>
      </c>
      <c r="C13" s="235" t="s">
        <v>52</v>
      </c>
      <c r="D13" s="236">
        <v>21</v>
      </c>
      <c r="E13" s="236">
        <v>3</v>
      </c>
      <c r="F13" s="147">
        <f>[1]МКД!$H$178</f>
        <v>34</v>
      </c>
      <c r="G13" s="229">
        <f>I13+H13</f>
        <v>396</v>
      </c>
      <c r="H13" s="229">
        <v>287</v>
      </c>
      <c r="I13" s="229">
        <v>109</v>
      </c>
      <c r="J13" s="229">
        <f>L13+K13</f>
        <v>431.73</v>
      </c>
      <c r="K13" s="229">
        <v>322.73</v>
      </c>
      <c r="L13" s="229">
        <v>109</v>
      </c>
      <c r="M13" s="229">
        <f>O13+N13</f>
        <v>435</v>
      </c>
      <c r="N13" s="229">
        <v>125</v>
      </c>
      <c r="O13" s="229">
        <v>310</v>
      </c>
      <c r="P13" s="237">
        <f>M13/F13</f>
        <v>12.794117647058824</v>
      </c>
    </row>
    <row r="14" spans="1:16" ht="15">
      <c r="A14" s="234">
        <f t="shared" si="0"/>
        <v>8</v>
      </c>
      <c r="B14" s="235" t="s">
        <v>49</v>
      </c>
      <c r="C14" s="235" t="s">
        <v>16</v>
      </c>
      <c r="D14" s="236">
        <v>5</v>
      </c>
      <c r="E14" s="235"/>
      <c r="F14" s="147">
        <f>[1]МКД!$H$167</f>
        <v>58</v>
      </c>
      <c r="G14" s="229">
        <f>I14+H14</f>
        <v>293</v>
      </c>
      <c r="H14" s="229">
        <v>215</v>
      </c>
      <c r="I14" s="229">
        <v>78</v>
      </c>
      <c r="J14" s="229">
        <f>L14+K14</f>
        <v>270</v>
      </c>
      <c r="K14" s="229">
        <v>212</v>
      </c>
      <c r="L14" s="229">
        <v>58</v>
      </c>
      <c r="M14" s="229">
        <f>O14+N14</f>
        <v>400</v>
      </c>
      <c r="N14" s="229">
        <v>370</v>
      </c>
      <c r="O14" s="229">
        <v>30</v>
      </c>
      <c r="P14" s="237">
        <f>M14/F14</f>
        <v>6.8965517241379306</v>
      </c>
    </row>
    <row r="15" spans="1:16" ht="15">
      <c r="A15" s="234">
        <f t="shared" si="0"/>
        <v>9</v>
      </c>
      <c r="B15" s="235" t="s">
        <v>49</v>
      </c>
      <c r="C15" s="235" t="s">
        <v>16</v>
      </c>
      <c r="D15" s="236">
        <v>20</v>
      </c>
      <c r="E15" s="235"/>
      <c r="F15" s="147">
        <f>[1]МКД!$H$168</f>
        <v>19</v>
      </c>
      <c r="G15" s="229">
        <f>I15+H15</f>
        <v>389</v>
      </c>
      <c r="H15" s="229">
        <v>155</v>
      </c>
      <c r="I15" s="229">
        <v>234</v>
      </c>
      <c r="J15" s="229">
        <f>L15+K15</f>
        <v>391</v>
      </c>
      <c r="K15" s="229">
        <v>156</v>
      </c>
      <c r="L15" s="229">
        <v>235</v>
      </c>
      <c r="M15" s="229">
        <f>O15+N15</f>
        <v>380</v>
      </c>
      <c r="N15" s="229">
        <v>190</v>
      </c>
      <c r="O15" s="229">
        <v>190</v>
      </c>
      <c r="P15" s="237">
        <f>M15/F15</f>
        <v>20</v>
      </c>
    </row>
    <row r="16" spans="1:16" ht="15">
      <c r="A16" s="234">
        <f t="shared" si="0"/>
        <v>10</v>
      </c>
      <c r="B16" s="235" t="s">
        <v>49</v>
      </c>
      <c r="C16" s="235" t="s">
        <v>52</v>
      </c>
      <c r="D16" s="236">
        <v>21</v>
      </c>
      <c r="E16" s="236">
        <v>1</v>
      </c>
      <c r="F16" s="147">
        <f>[1]МКД!$H$176</f>
        <v>35</v>
      </c>
      <c r="G16" s="229">
        <f>I16+H16</f>
        <v>360</v>
      </c>
      <c r="H16" s="229">
        <v>348</v>
      </c>
      <c r="I16" s="229">
        <v>12</v>
      </c>
      <c r="J16" s="229">
        <f>L16+K16</f>
        <v>386</v>
      </c>
      <c r="K16" s="229">
        <v>373</v>
      </c>
      <c r="L16" s="229">
        <v>13</v>
      </c>
      <c r="M16" s="229">
        <f>O16+N16</f>
        <v>365</v>
      </c>
      <c r="N16" s="229">
        <v>220</v>
      </c>
      <c r="O16" s="229">
        <v>145</v>
      </c>
      <c r="P16" s="237">
        <f>M16/F16</f>
        <v>10.428571428571429</v>
      </c>
    </row>
    <row r="17" spans="1:22" ht="15">
      <c r="A17" s="234">
        <f t="shared" si="0"/>
        <v>11</v>
      </c>
      <c r="B17" s="235" t="s">
        <v>49</v>
      </c>
      <c r="C17" s="235" t="s">
        <v>16</v>
      </c>
      <c r="D17" s="236">
        <v>41</v>
      </c>
      <c r="E17" s="236"/>
      <c r="F17" s="147">
        <f>[1]МКД!$H$279</f>
        <v>48</v>
      </c>
      <c r="G17" s="229">
        <f>I17+H17</f>
        <v>100</v>
      </c>
      <c r="H17" s="229">
        <v>85</v>
      </c>
      <c r="I17" s="229">
        <v>15</v>
      </c>
      <c r="J17" s="229">
        <f>L17+K17</f>
        <v>147</v>
      </c>
      <c r="K17" s="229">
        <v>121</v>
      </c>
      <c r="L17" s="230">
        <v>26</v>
      </c>
      <c r="M17" s="229">
        <f>O17+N17</f>
        <v>155</v>
      </c>
      <c r="N17" s="229">
        <v>150</v>
      </c>
      <c r="O17" s="230">
        <v>5</v>
      </c>
      <c r="P17" s="237">
        <f>M17/F17</f>
        <v>3.2291666666666665</v>
      </c>
    </row>
    <row r="18" spans="1:22" s="39" customFormat="1" ht="15">
      <c r="A18" s="238"/>
      <c r="B18" s="239" t="s">
        <v>56</v>
      </c>
      <c r="C18" s="239"/>
      <c r="D18" s="240"/>
      <c r="E18" s="240"/>
      <c r="F18" s="240">
        <f>SUM(F7:F17)</f>
        <v>513</v>
      </c>
      <c r="G18" s="241">
        <f>SUM(G7:G17)</f>
        <v>6607</v>
      </c>
      <c r="H18" s="241">
        <f t="shared" ref="H18:K18" si="1">SUM(H7:H17)</f>
        <v>3663</v>
      </c>
      <c r="I18" s="241">
        <f t="shared" si="1"/>
        <v>2944</v>
      </c>
      <c r="J18" s="241">
        <f>SUM(J7:J17)</f>
        <v>6658.7099999999991</v>
      </c>
      <c r="K18" s="238">
        <f t="shared" si="1"/>
        <v>3781.73</v>
      </c>
      <c r="L18" s="241">
        <f>SUM(L7:L17)</f>
        <v>2876.98</v>
      </c>
      <c r="M18" s="241">
        <f>SUM(M7:M17)</f>
        <v>6575</v>
      </c>
      <c r="N18" s="241">
        <f>SUM(N7:N17)</f>
        <v>3675</v>
      </c>
      <c r="O18" s="241">
        <f>SUM(O7:O17)</f>
        <v>2900</v>
      </c>
      <c r="P18" s="238"/>
    </row>
    <row r="19" spans="1:22" s="79" customFormat="1" ht="15" customHeight="1">
      <c r="A19" s="242" t="s">
        <v>113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</row>
    <row r="20" spans="1:22" ht="15" customHeight="1">
      <c r="A20" s="234">
        <v>1</v>
      </c>
      <c r="B20" s="235" t="s">
        <v>49</v>
      </c>
      <c r="C20" s="235" t="s">
        <v>53</v>
      </c>
      <c r="D20" s="236">
        <v>10</v>
      </c>
      <c r="E20" s="236"/>
      <c r="F20" s="147">
        <f>[1]МКД!$H$175</f>
        <v>149</v>
      </c>
      <c r="G20" s="231">
        <f t="shared" ref="G20:G23" si="2">I20+H20</f>
        <v>373</v>
      </c>
      <c r="H20" s="231">
        <v>149</v>
      </c>
      <c r="I20" s="231">
        <v>224</v>
      </c>
      <c r="J20" s="231">
        <f t="shared" ref="J20:J23" si="3">L20+K20</f>
        <v>376</v>
      </c>
      <c r="K20" s="231">
        <v>152</v>
      </c>
      <c r="L20" s="231">
        <v>224</v>
      </c>
      <c r="M20" s="231">
        <f t="shared" ref="M20:M23" si="4">O20+N20</f>
        <v>79.56</v>
      </c>
      <c r="N20" s="231">
        <v>65</v>
      </c>
      <c r="O20" s="231">
        <v>14.56</v>
      </c>
      <c r="P20" s="237">
        <f>M20/F20</f>
        <v>0.53395973154362419</v>
      </c>
    </row>
    <row r="21" spans="1:22" ht="15">
      <c r="A21" s="234">
        <f t="shared" si="0"/>
        <v>2</v>
      </c>
      <c r="B21" s="235" t="s">
        <v>49</v>
      </c>
      <c r="C21" s="235" t="s">
        <v>54</v>
      </c>
      <c r="D21" s="236">
        <v>7</v>
      </c>
      <c r="E21" s="236"/>
      <c r="F21" s="147">
        <f>[1]МКД!$H$180</f>
        <v>70</v>
      </c>
      <c r="G21" s="231">
        <f t="shared" si="2"/>
        <v>795</v>
      </c>
      <c r="H21" s="231">
        <v>563</v>
      </c>
      <c r="I21" s="231">
        <v>232</v>
      </c>
      <c r="J21" s="231">
        <f t="shared" si="3"/>
        <v>784</v>
      </c>
      <c r="K21" s="231">
        <v>552</v>
      </c>
      <c r="L21" s="231">
        <v>232</v>
      </c>
      <c r="M21" s="231">
        <f t="shared" si="4"/>
        <v>795</v>
      </c>
      <c r="N21" s="231">
        <v>565</v>
      </c>
      <c r="O21" s="231">
        <v>230</v>
      </c>
      <c r="P21" s="237">
        <f t="shared" ref="P21:P22" si="5">M21/F21</f>
        <v>11.357142857142858</v>
      </c>
    </row>
    <row r="22" spans="1:22" ht="15" customHeight="1">
      <c r="A22" s="234">
        <f t="shared" si="0"/>
        <v>3</v>
      </c>
      <c r="B22" s="235" t="s">
        <v>49</v>
      </c>
      <c r="C22" s="235" t="s">
        <v>16</v>
      </c>
      <c r="D22" s="236">
        <v>33</v>
      </c>
      <c r="E22" s="236" t="s">
        <v>18</v>
      </c>
      <c r="F22" s="147">
        <f>[1]МКД!$H$171</f>
        <v>79</v>
      </c>
      <c r="G22" s="231">
        <f t="shared" si="2"/>
        <v>39</v>
      </c>
      <c r="H22" s="231">
        <v>13</v>
      </c>
      <c r="I22" s="231">
        <v>26</v>
      </c>
      <c r="J22" s="231">
        <f t="shared" si="3"/>
        <v>41</v>
      </c>
      <c r="K22" s="231">
        <v>34</v>
      </c>
      <c r="L22" s="231">
        <v>7</v>
      </c>
      <c r="M22" s="231">
        <f t="shared" si="4"/>
        <v>53.51</v>
      </c>
      <c r="N22" s="231">
        <v>48.51</v>
      </c>
      <c r="O22" s="231">
        <v>5</v>
      </c>
      <c r="P22" s="237">
        <f t="shared" si="5"/>
        <v>0.67734177215189872</v>
      </c>
    </row>
    <row r="23" spans="1:22" ht="15">
      <c r="A23" s="234">
        <f t="shared" si="0"/>
        <v>4</v>
      </c>
      <c r="B23" s="235" t="s">
        <v>49</v>
      </c>
      <c r="C23" s="235" t="s">
        <v>16</v>
      </c>
      <c r="D23" s="236">
        <v>35</v>
      </c>
      <c r="E23" s="236" t="s">
        <v>18</v>
      </c>
      <c r="F23" s="147">
        <f>[1]МКД!$H$172</f>
        <v>99</v>
      </c>
      <c r="G23" s="231">
        <f t="shared" si="2"/>
        <v>88</v>
      </c>
      <c r="H23" s="231">
        <v>23</v>
      </c>
      <c r="I23" s="231">
        <v>65</v>
      </c>
      <c r="J23" s="231">
        <f t="shared" si="3"/>
        <v>90</v>
      </c>
      <c r="K23" s="231">
        <v>26</v>
      </c>
      <c r="L23" s="231">
        <v>64</v>
      </c>
      <c r="M23" s="231">
        <f t="shared" si="4"/>
        <v>25</v>
      </c>
      <c r="N23" s="231">
        <v>0</v>
      </c>
      <c r="O23" s="231">
        <v>25</v>
      </c>
      <c r="P23" s="237">
        <f>M23/F23</f>
        <v>0.25252525252525254</v>
      </c>
    </row>
    <row r="24" spans="1:22" s="39" customFormat="1" ht="15">
      <c r="A24" s="238"/>
      <c r="B24" s="239" t="s">
        <v>56</v>
      </c>
      <c r="C24" s="239"/>
      <c r="D24" s="240"/>
      <c r="E24" s="240"/>
      <c r="F24" s="240">
        <f>SUM(F20:F23)</f>
        <v>397</v>
      </c>
      <c r="G24" s="241">
        <f t="shared" ref="G24:K24" si="6">SUM(G20:G23)</f>
        <v>1295</v>
      </c>
      <c r="H24" s="241">
        <f t="shared" si="6"/>
        <v>748</v>
      </c>
      <c r="I24" s="241">
        <f t="shared" si="6"/>
        <v>547</v>
      </c>
      <c r="J24" s="238">
        <f t="shared" si="6"/>
        <v>1291</v>
      </c>
      <c r="K24" s="238">
        <f t="shared" si="6"/>
        <v>764</v>
      </c>
      <c r="L24" s="241">
        <f>SUM(L20:L23)</f>
        <v>527</v>
      </c>
      <c r="M24" s="241">
        <f>SUM(M20:M23)</f>
        <v>953.06999999999994</v>
      </c>
      <c r="N24" s="241">
        <f>SUM(N20:N23)</f>
        <v>678.51</v>
      </c>
      <c r="O24" s="241">
        <f t="shared" ref="O24" si="7">SUM(O20:O23)</f>
        <v>274.56</v>
      </c>
      <c r="P24" s="238"/>
    </row>
    <row r="26" spans="1:22" s="244" customFormat="1" ht="15">
      <c r="B26" s="245" t="s">
        <v>137</v>
      </c>
    </row>
    <row r="27" spans="1:22" s="244" customFormat="1" ht="12.75" customHeight="1">
      <c r="B27" s="175" t="s">
        <v>140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</row>
  </sheetData>
  <sortState ref="C7:P17">
    <sortCondition descending="1" ref="M7:M17"/>
  </sortState>
  <mergeCells count="21">
    <mergeCell ref="B27:V27"/>
    <mergeCell ref="B1:P1"/>
    <mergeCell ref="B2:P2"/>
    <mergeCell ref="A4:A6"/>
    <mergeCell ref="B4:B6"/>
    <mergeCell ref="C4:E4"/>
    <mergeCell ref="C5:C6"/>
    <mergeCell ref="D5:D6"/>
    <mergeCell ref="E5:E6"/>
    <mergeCell ref="F4:F6"/>
    <mergeCell ref="G4:I4"/>
    <mergeCell ref="G5:G6"/>
    <mergeCell ref="H5:I5"/>
    <mergeCell ref="M4:O4"/>
    <mergeCell ref="M5:M6"/>
    <mergeCell ref="N5:O5"/>
    <mergeCell ref="J4:L4"/>
    <mergeCell ref="J5:J6"/>
    <mergeCell ref="K5:L5"/>
    <mergeCell ref="P4:P6"/>
    <mergeCell ref="A19:P1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6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M13" sqref="M13"/>
    </sheetView>
  </sheetViews>
  <sheetFormatPr defaultRowHeight="12.75"/>
  <cols>
    <col min="1" max="1" width="5.28515625" style="12" customWidth="1"/>
    <col min="2" max="2" width="16.140625" style="12" customWidth="1"/>
    <col min="3" max="3" width="13.85546875" style="12" customWidth="1"/>
    <col min="4" max="4" width="8" style="12" customWidth="1"/>
    <col min="5" max="5" width="7.85546875" style="12" customWidth="1"/>
    <col min="6" max="6" width="10.7109375" style="12" customWidth="1"/>
    <col min="7" max="15" width="10.28515625" style="12" customWidth="1"/>
    <col min="16" max="258" width="9.140625" style="12"/>
    <col min="259" max="259" width="16.140625" style="12" customWidth="1"/>
    <col min="260" max="260" width="13.85546875" style="12" customWidth="1"/>
    <col min="261" max="261" width="8" style="12" customWidth="1"/>
    <col min="262" max="262" width="7.85546875" style="12" customWidth="1"/>
    <col min="263" max="263" width="9.140625" style="12"/>
    <col min="264" max="264" width="10" style="12" customWidth="1"/>
    <col min="265" max="265" width="10.140625" style="12" customWidth="1"/>
    <col min="266" max="266" width="9.140625" style="12"/>
    <col min="267" max="267" width="9.85546875" style="12" customWidth="1"/>
    <col min="268" max="268" width="10.140625" style="12" customWidth="1"/>
    <col min="269" max="269" width="9.140625" style="12"/>
    <col min="270" max="270" width="9.85546875" style="12" customWidth="1"/>
    <col min="271" max="271" width="10.28515625" style="12" customWidth="1"/>
    <col min="272" max="514" width="9.140625" style="12"/>
    <col min="515" max="515" width="16.140625" style="12" customWidth="1"/>
    <col min="516" max="516" width="13.85546875" style="12" customWidth="1"/>
    <col min="517" max="517" width="8" style="12" customWidth="1"/>
    <col min="518" max="518" width="7.85546875" style="12" customWidth="1"/>
    <col min="519" max="519" width="9.140625" style="12"/>
    <col min="520" max="520" width="10" style="12" customWidth="1"/>
    <col min="521" max="521" width="10.140625" style="12" customWidth="1"/>
    <col min="522" max="522" width="9.140625" style="12"/>
    <col min="523" max="523" width="9.85546875" style="12" customWidth="1"/>
    <col min="524" max="524" width="10.140625" style="12" customWidth="1"/>
    <col min="525" max="525" width="9.140625" style="12"/>
    <col min="526" max="526" width="9.85546875" style="12" customWidth="1"/>
    <col min="527" max="527" width="10.28515625" style="12" customWidth="1"/>
    <col min="528" max="770" width="9.140625" style="12"/>
    <col min="771" max="771" width="16.140625" style="12" customWidth="1"/>
    <col min="772" max="772" width="13.85546875" style="12" customWidth="1"/>
    <col min="773" max="773" width="8" style="12" customWidth="1"/>
    <col min="774" max="774" width="7.85546875" style="12" customWidth="1"/>
    <col min="775" max="775" width="9.140625" style="12"/>
    <col min="776" max="776" width="10" style="12" customWidth="1"/>
    <col min="777" max="777" width="10.140625" style="12" customWidth="1"/>
    <col min="778" max="778" width="9.140625" style="12"/>
    <col min="779" max="779" width="9.85546875" style="12" customWidth="1"/>
    <col min="780" max="780" width="10.140625" style="12" customWidth="1"/>
    <col min="781" max="781" width="9.140625" style="12"/>
    <col min="782" max="782" width="9.85546875" style="12" customWidth="1"/>
    <col min="783" max="783" width="10.28515625" style="12" customWidth="1"/>
    <col min="784" max="1026" width="9.140625" style="12"/>
    <col min="1027" max="1027" width="16.140625" style="12" customWidth="1"/>
    <col min="1028" max="1028" width="13.85546875" style="12" customWidth="1"/>
    <col min="1029" max="1029" width="8" style="12" customWidth="1"/>
    <col min="1030" max="1030" width="7.85546875" style="12" customWidth="1"/>
    <col min="1031" max="1031" width="9.140625" style="12"/>
    <col min="1032" max="1032" width="10" style="12" customWidth="1"/>
    <col min="1033" max="1033" width="10.140625" style="12" customWidth="1"/>
    <col min="1034" max="1034" width="9.140625" style="12"/>
    <col min="1035" max="1035" width="9.85546875" style="12" customWidth="1"/>
    <col min="1036" max="1036" width="10.140625" style="12" customWidth="1"/>
    <col min="1037" max="1037" width="9.140625" style="12"/>
    <col min="1038" max="1038" width="9.85546875" style="12" customWidth="1"/>
    <col min="1039" max="1039" width="10.28515625" style="12" customWidth="1"/>
    <col min="1040" max="1282" width="9.140625" style="12"/>
    <col min="1283" max="1283" width="16.140625" style="12" customWidth="1"/>
    <col min="1284" max="1284" width="13.85546875" style="12" customWidth="1"/>
    <col min="1285" max="1285" width="8" style="12" customWidth="1"/>
    <col min="1286" max="1286" width="7.85546875" style="12" customWidth="1"/>
    <col min="1287" max="1287" width="9.140625" style="12"/>
    <col min="1288" max="1288" width="10" style="12" customWidth="1"/>
    <col min="1289" max="1289" width="10.140625" style="12" customWidth="1"/>
    <col min="1290" max="1290" width="9.140625" style="12"/>
    <col min="1291" max="1291" width="9.85546875" style="12" customWidth="1"/>
    <col min="1292" max="1292" width="10.140625" style="12" customWidth="1"/>
    <col min="1293" max="1293" width="9.140625" style="12"/>
    <col min="1294" max="1294" width="9.85546875" style="12" customWidth="1"/>
    <col min="1295" max="1295" width="10.28515625" style="12" customWidth="1"/>
    <col min="1296" max="1538" width="9.140625" style="12"/>
    <col min="1539" max="1539" width="16.140625" style="12" customWidth="1"/>
    <col min="1540" max="1540" width="13.85546875" style="12" customWidth="1"/>
    <col min="1541" max="1541" width="8" style="12" customWidth="1"/>
    <col min="1542" max="1542" width="7.85546875" style="12" customWidth="1"/>
    <col min="1543" max="1543" width="9.140625" style="12"/>
    <col min="1544" max="1544" width="10" style="12" customWidth="1"/>
    <col min="1545" max="1545" width="10.140625" style="12" customWidth="1"/>
    <col min="1546" max="1546" width="9.140625" style="12"/>
    <col min="1547" max="1547" width="9.85546875" style="12" customWidth="1"/>
    <col min="1548" max="1548" width="10.140625" style="12" customWidth="1"/>
    <col min="1549" max="1549" width="9.140625" style="12"/>
    <col min="1550" max="1550" width="9.85546875" style="12" customWidth="1"/>
    <col min="1551" max="1551" width="10.28515625" style="12" customWidth="1"/>
    <col min="1552" max="1794" width="9.140625" style="12"/>
    <col min="1795" max="1795" width="16.140625" style="12" customWidth="1"/>
    <col min="1796" max="1796" width="13.85546875" style="12" customWidth="1"/>
    <col min="1797" max="1797" width="8" style="12" customWidth="1"/>
    <col min="1798" max="1798" width="7.85546875" style="12" customWidth="1"/>
    <col min="1799" max="1799" width="9.140625" style="12"/>
    <col min="1800" max="1800" width="10" style="12" customWidth="1"/>
    <col min="1801" max="1801" width="10.140625" style="12" customWidth="1"/>
    <col min="1802" max="1802" width="9.140625" style="12"/>
    <col min="1803" max="1803" width="9.85546875" style="12" customWidth="1"/>
    <col min="1804" max="1804" width="10.140625" style="12" customWidth="1"/>
    <col min="1805" max="1805" width="9.140625" style="12"/>
    <col min="1806" max="1806" width="9.85546875" style="12" customWidth="1"/>
    <col min="1807" max="1807" width="10.28515625" style="12" customWidth="1"/>
    <col min="1808" max="2050" width="9.140625" style="12"/>
    <col min="2051" max="2051" width="16.140625" style="12" customWidth="1"/>
    <col min="2052" max="2052" width="13.85546875" style="12" customWidth="1"/>
    <col min="2053" max="2053" width="8" style="12" customWidth="1"/>
    <col min="2054" max="2054" width="7.85546875" style="12" customWidth="1"/>
    <col min="2055" max="2055" width="9.140625" style="12"/>
    <col min="2056" max="2056" width="10" style="12" customWidth="1"/>
    <col min="2057" max="2057" width="10.140625" style="12" customWidth="1"/>
    <col min="2058" max="2058" width="9.140625" style="12"/>
    <col min="2059" max="2059" width="9.85546875" style="12" customWidth="1"/>
    <col min="2060" max="2060" width="10.140625" style="12" customWidth="1"/>
    <col min="2061" max="2061" width="9.140625" style="12"/>
    <col min="2062" max="2062" width="9.85546875" style="12" customWidth="1"/>
    <col min="2063" max="2063" width="10.28515625" style="12" customWidth="1"/>
    <col min="2064" max="2306" width="9.140625" style="12"/>
    <col min="2307" max="2307" width="16.140625" style="12" customWidth="1"/>
    <col min="2308" max="2308" width="13.85546875" style="12" customWidth="1"/>
    <col min="2309" max="2309" width="8" style="12" customWidth="1"/>
    <col min="2310" max="2310" width="7.85546875" style="12" customWidth="1"/>
    <col min="2311" max="2311" width="9.140625" style="12"/>
    <col min="2312" max="2312" width="10" style="12" customWidth="1"/>
    <col min="2313" max="2313" width="10.140625" style="12" customWidth="1"/>
    <col min="2314" max="2314" width="9.140625" style="12"/>
    <col min="2315" max="2315" width="9.85546875" style="12" customWidth="1"/>
    <col min="2316" max="2316" width="10.140625" style="12" customWidth="1"/>
    <col min="2317" max="2317" width="9.140625" style="12"/>
    <col min="2318" max="2318" width="9.85546875" style="12" customWidth="1"/>
    <col min="2319" max="2319" width="10.28515625" style="12" customWidth="1"/>
    <col min="2320" max="2562" width="9.140625" style="12"/>
    <col min="2563" max="2563" width="16.140625" style="12" customWidth="1"/>
    <col min="2564" max="2564" width="13.85546875" style="12" customWidth="1"/>
    <col min="2565" max="2565" width="8" style="12" customWidth="1"/>
    <col min="2566" max="2566" width="7.85546875" style="12" customWidth="1"/>
    <col min="2567" max="2567" width="9.140625" style="12"/>
    <col min="2568" max="2568" width="10" style="12" customWidth="1"/>
    <col min="2569" max="2569" width="10.140625" style="12" customWidth="1"/>
    <col min="2570" max="2570" width="9.140625" style="12"/>
    <col min="2571" max="2571" width="9.85546875" style="12" customWidth="1"/>
    <col min="2572" max="2572" width="10.140625" style="12" customWidth="1"/>
    <col min="2573" max="2573" width="9.140625" style="12"/>
    <col min="2574" max="2574" width="9.85546875" style="12" customWidth="1"/>
    <col min="2575" max="2575" width="10.28515625" style="12" customWidth="1"/>
    <col min="2576" max="2818" width="9.140625" style="12"/>
    <col min="2819" max="2819" width="16.140625" style="12" customWidth="1"/>
    <col min="2820" max="2820" width="13.85546875" style="12" customWidth="1"/>
    <col min="2821" max="2821" width="8" style="12" customWidth="1"/>
    <col min="2822" max="2822" width="7.85546875" style="12" customWidth="1"/>
    <col min="2823" max="2823" width="9.140625" style="12"/>
    <col min="2824" max="2824" width="10" style="12" customWidth="1"/>
    <col min="2825" max="2825" width="10.140625" style="12" customWidth="1"/>
    <col min="2826" max="2826" width="9.140625" style="12"/>
    <col min="2827" max="2827" width="9.85546875" style="12" customWidth="1"/>
    <col min="2828" max="2828" width="10.140625" style="12" customWidth="1"/>
    <col min="2829" max="2829" width="9.140625" style="12"/>
    <col min="2830" max="2830" width="9.85546875" style="12" customWidth="1"/>
    <col min="2831" max="2831" width="10.28515625" style="12" customWidth="1"/>
    <col min="2832" max="3074" width="9.140625" style="12"/>
    <col min="3075" max="3075" width="16.140625" style="12" customWidth="1"/>
    <col min="3076" max="3076" width="13.85546875" style="12" customWidth="1"/>
    <col min="3077" max="3077" width="8" style="12" customWidth="1"/>
    <col min="3078" max="3078" width="7.85546875" style="12" customWidth="1"/>
    <col min="3079" max="3079" width="9.140625" style="12"/>
    <col min="3080" max="3080" width="10" style="12" customWidth="1"/>
    <col min="3081" max="3081" width="10.140625" style="12" customWidth="1"/>
    <col min="3082" max="3082" width="9.140625" style="12"/>
    <col min="3083" max="3083" width="9.85546875" style="12" customWidth="1"/>
    <col min="3084" max="3084" width="10.140625" style="12" customWidth="1"/>
    <col min="3085" max="3085" width="9.140625" style="12"/>
    <col min="3086" max="3086" width="9.85546875" style="12" customWidth="1"/>
    <col min="3087" max="3087" width="10.28515625" style="12" customWidth="1"/>
    <col min="3088" max="3330" width="9.140625" style="12"/>
    <col min="3331" max="3331" width="16.140625" style="12" customWidth="1"/>
    <col min="3332" max="3332" width="13.85546875" style="12" customWidth="1"/>
    <col min="3333" max="3333" width="8" style="12" customWidth="1"/>
    <col min="3334" max="3334" width="7.85546875" style="12" customWidth="1"/>
    <col min="3335" max="3335" width="9.140625" style="12"/>
    <col min="3336" max="3336" width="10" style="12" customWidth="1"/>
    <col min="3337" max="3337" width="10.140625" style="12" customWidth="1"/>
    <col min="3338" max="3338" width="9.140625" style="12"/>
    <col min="3339" max="3339" width="9.85546875" style="12" customWidth="1"/>
    <col min="3340" max="3340" width="10.140625" style="12" customWidth="1"/>
    <col min="3341" max="3341" width="9.140625" style="12"/>
    <col min="3342" max="3342" width="9.85546875" style="12" customWidth="1"/>
    <col min="3343" max="3343" width="10.28515625" style="12" customWidth="1"/>
    <col min="3344" max="3586" width="9.140625" style="12"/>
    <col min="3587" max="3587" width="16.140625" style="12" customWidth="1"/>
    <col min="3588" max="3588" width="13.85546875" style="12" customWidth="1"/>
    <col min="3589" max="3589" width="8" style="12" customWidth="1"/>
    <col min="3590" max="3590" width="7.85546875" style="12" customWidth="1"/>
    <col min="3591" max="3591" width="9.140625" style="12"/>
    <col min="3592" max="3592" width="10" style="12" customWidth="1"/>
    <col min="3593" max="3593" width="10.140625" style="12" customWidth="1"/>
    <col min="3594" max="3594" width="9.140625" style="12"/>
    <col min="3595" max="3595" width="9.85546875" style="12" customWidth="1"/>
    <col min="3596" max="3596" width="10.140625" style="12" customWidth="1"/>
    <col min="3597" max="3597" width="9.140625" style="12"/>
    <col min="3598" max="3598" width="9.85546875" style="12" customWidth="1"/>
    <col min="3599" max="3599" width="10.28515625" style="12" customWidth="1"/>
    <col min="3600" max="3842" width="9.140625" style="12"/>
    <col min="3843" max="3843" width="16.140625" style="12" customWidth="1"/>
    <col min="3844" max="3844" width="13.85546875" style="12" customWidth="1"/>
    <col min="3845" max="3845" width="8" style="12" customWidth="1"/>
    <col min="3846" max="3846" width="7.85546875" style="12" customWidth="1"/>
    <col min="3847" max="3847" width="9.140625" style="12"/>
    <col min="3848" max="3848" width="10" style="12" customWidth="1"/>
    <col min="3849" max="3849" width="10.140625" style="12" customWidth="1"/>
    <col min="3850" max="3850" width="9.140625" style="12"/>
    <col min="3851" max="3851" width="9.85546875" style="12" customWidth="1"/>
    <col min="3852" max="3852" width="10.140625" style="12" customWidth="1"/>
    <col min="3853" max="3853" width="9.140625" style="12"/>
    <col min="3854" max="3854" width="9.85546875" style="12" customWidth="1"/>
    <col min="3855" max="3855" width="10.28515625" style="12" customWidth="1"/>
    <col min="3856" max="4098" width="9.140625" style="12"/>
    <col min="4099" max="4099" width="16.140625" style="12" customWidth="1"/>
    <col min="4100" max="4100" width="13.85546875" style="12" customWidth="1"/>
    <col min="4101" max="4101" width="8" style="12" customWidth="1"/>
    <col min="4102" max="4102" width="7.85546875" style="12" customWidth="1"/>
    <col min="4103" max="4103" width="9.140625" style="12"/>
    <col min="4104" max="4104" width="10" style="12" customWidth="1"/>
    <col min="4105" max="4105" width="10.140625" style="12" customWidth="1"/>
    <col min="4106" max="4106" width="9.140625" style="12"/>
    <col min="4107" max="4107" width="9.85546875" style="12" customWidth="1"/>
    <col min="4108" max="4108" width="10.140625" style="12" customWidth="1"/>
    <col min="4109" max="4109" width="9.140625" style="12"/>
    <col min="4110" max="4110" width="9.85546875" style="12" customWidth="1"/>
    <col min="4111" max="4111" width="10.28515625" style="12" customWidth="1"/>
    <col min="4112" max="4354" width="9.140625" style="12"/>
    <col min="4355" max="4355" width="16.140625" style="12" customWidth="1"/>
    <col min="4356" max="4356" width="13.85546875" style="12" customWidth="1"/>
    <col min="4357" max="4357" width="8" style="12" customWidth="1"/>
    <col min="4358" max="4358" width="7.85546875" style="12" customWidth="1"/>
    <col min="4359" max="4359" width="9.140625" style="12"/>
    <col min="4360" max="4360" width="10" style="12" customWidth="1"/>
    <col min="4361" max="4361" width="10.140625" style="12" customWidth="1"/>
    <col min="4362" max="4362" width="9.140625" style="12"/>
    <col min="4363" max="4363" width="9.85546875" style="12" customWidth="1"/>
    <col min="4364" max="4364" width="10.140625" style="12" customWidth="1"/>
    <col min="4365" max="4365" width="9.140625" style="12"/>
    <col min="4366" max="4366" width="9.85546875" style="12" customWidth="1"/>
    <col min="4367" max="4367" width="10.28515625" style="12" customWidth="1"/>
    <col min="4368" max="4610" width="9.140625" style="12"/>
    <col min="4611" max="4611" width="16.140625" style="12" customWidth="1"/>
    <col min="4612" max="4612" width="13.85546875" style="12" customWidth="1"/>
    <col min="4613" max="4613" width="8" style="12" customWidth="1"/>
    <col min="4614" max="4614" width="7.85546875" style="12" customWidth="1"/>
    <col min="4615" max="4615" width="9.140625" style="12"/>
    <col min="4616" max="4616" width="10" style="12" customWidth="1"/>
    <col min="4617" max="4617" width="10.140625" style="12" customWidth="1"/>
    <col min="4618" max="4618" width="9.140625" style="12"/>
    <col min="4619" max="4619" width="9.85546875" style="12" customWidth="1"/>
    <col min="4620" max="4620" width="10.140625" style="12" customWidth="1"/>
    <col min="4621" max="4621" width="9.140625" style="12"/>
    <col min="4622" max="4622" width="9.85546875" style="12" customWidth="1"/>
    <col min="4623" max="4623" width="10.28515625" style="12" customWidth="1"/>
    <col min="4624" max="4866" width="9.140625" style="12"/>
    <col min="4867" max="4867" width="16.140625" style="12" customWidth="1"/>
    <col min="4868" max="4868" width="13.85546875" style="12" customWidth="1"/>
    <col min="4869" max="4869" width="8" style="12" customWidth="1"/>
    <col min="4870" max="4870" width="7.85546875" style="12" customWidth="1"/>
    <col min="4871" max="4871" width="9.140625" style="12"/>
    <col min="4872" max="4872" width="10" style="12" customWidth="1"/>
    <col min="4873" max="4873" width="10.140625" style="12" customWidth="1"/>
    <col min="4874" max="4874" width="9.140625" style="12"/>
    <col min="4875" max="4875" width="9.85546875" style="12" customWidth="1"/>
    <col min="4876" max="4876" width="10.140625" style="12" customWidth="1"/>
    <col min="4877" max="4877" width="9.140625" style="12"/>
    <col min="4878" max="4878" width="9.85546875" style="12" customWidth="1"/>
    <col min="4879" max="4879" width="10.28515625" style="12" customWidth="1"/>
    <col min="4880" max="5122" width="9.140625" style="12"/>
    <col min="5123" max="5123" width="16.140625" style="12" customWidth="1"/>
    <col min="5124" max="5124" width="13.85546875" style="12" customWidth="1"/>
    <col min="5125" max="5125" width="8" style="12" customWidth="1"/>
    <col min="5126" max="5126" width="7.85546875" style="12" customWidth="1"/>
    <col min="5127" max="5127" width="9.140625" style="12"/>
    <col min="5128" max="5128" width="10" style="12" customWidth="1"/>
    <col min="5129" max="5129" width="10.140625" style="12" customWidth="1"/>
    <col min="5130" max="5130" width="9.140625" style="12"/>
    <col min="5131" max="5131" width="9.85546875" style="12" customWidth="1"/>
    <col min="5132" max="5132" width="10.140625" style="12" customWidth="1"/>
    <col min="5133" max="5133" width="9.140625" style="12"/>
    <col min="5134" max="5134" width="9.85546875" style="12" customWidth="1"/>
    <col min="5135" max="5135" width="10.28515625" style="12" customWidth="1"/>
    <col min="5136" max="5378" width="9.140625" style="12"/>
    <col min="5379" max="5379" width="16.140625" style="12" customWidth="1"/>
    <col min="5380" max="5380" width="13.85546875" style="12" customWidth="1"/>
    <col min="5381" max="5381" width="8" style="12" customWidth="1"/>
    <col min="5382" max="5382" width="7.85546875" style="12" customWidth="1"/>
    <col min="5383" max="5383" width="9.140625" style="12"/>
    <col min="5384" max="5384" width="10" style="12" customWidth="1"/>
    <col min="5385" max="5385" width="10.140625" style="12" customWidth="1"/>
    <col min="5386" max="5386" width="9.140625" style="12"/>
    <col min="5387" max="5387" width="9.85546875" style="12" customWidth="1"/>
    <col min="5388" max="5388" width="10.140625" style="12" customWidth="1"/>
    <col min="5389" max="5389" width="9.140625" style="12"/>
    <col min="5390" max="5390" width="9.85546875" style="12" customWidth="1"/>
    <col min="5391" max="5391" width="10.28515625" style="12" customWidth="1"/>
    <col min="5392" max="5634" width="9.140625" style="12"/>
    <col min="5635" max="5635" width="16.140625" style="12" customWidth="1"/>
    <col min="5636" max="5636" width="13.85546875" style="12" customWidth="1"/>
    <col min="5637" max="5637" width="8" style="12" customWidth="1"/>
    <col min="5638" max="5638" width="7.85546875" style="12" customWidth="1"/>
    <col min="5639" max="5639" width="9.140625" style="12"/>
    <col min="5640" max="5640" width="10" style="12" customWidth="1"/>
    <col min="5641" max="5641" width="10.140625" style="12" customWidth="1"/>
    <col min="5642" max="5642" width="9.140625" style="12"/>
    <col min="5643" max="5643" width="9.85546875" style="12" customWidth="1"/>
    <col min="5644" max="5644" width="10.140625" style="12" customWidth="1"/>
    <col min="5645" max="5645" width="9.140625" style="12"/>
    <col min="5646" max="5646" width="9.85546875" style="12" customWidth="1"/>
    <col min="5647" max="5647" width="10.28515625" style="12" customWidth="1"/>
    <col min="5648" max="5890" width="9.140625" style="12"/>
    <col min="5891" max="5891" width="16.140625" style="12" customWidth="1"/>
    <col min="5892" max="5892" width="13.85546875" style="12" customWidth="1"/>
    <col min="5893" max="5893" width="8" style="12" customWidth="1"/>
    <col min="5894" max="5894" width="7.85546875" style="12" customWidth="1"/>
    <col min="5895" max="5895" width="9.140625" style="12"/>
    <col min="5896" max="5896" width="10" style="12" customWidth="1"/>
    <col min="5897" max="5897" width="10.140625" style="12" customWidth="1"/>
    <col min="5898" max="5898" width="9.140625" style="12"/>
    <col min="5899" max="5899" width="9.85546875" style="12" customWidth="1"/>
    <col min="5900" max="5900" width="10.140625" style="12" customWidth="1"/>
    <col min="5901" max="5901" width="9.140625" style="12"/>
    <col min="5902" max="5902" width="9.85546875" style="12" customWidth="1"/>
    <col min="5903" max="5903" width="10.28515625" style="12" customWidth="1"/>
    <col min="5904" max="6146" width="9.140625" style="12"/>
    <col min="6147" max="6147" width="16.140625" style="12" customWidth="1"/>
    <col min="6148" max="6148" width="13.85546875" style="12" customWidth="1"/>
    <col min="6149" max="6149" width="8" style="12" customWidth="1"/>
    <col min="6150" max="6150" width="7.85546875" style="12" customWidth="1"/>
    <col min="6151" max="6151" width="9.140625" style="12"/>
    <col min="6152" max="6152" width="10" style="12" customWidth="1"/>
    <col min="6153" max="6153" width="10.140625" style="12" customWidth="1"/>
    <col min="6154" max="6154" width="9.140625" style="12"/>
    <col min="6155" max="6155" width="9.85546875" style="12" customWidth="1"/>
    <col min="6156" max="6156" width="10.140625" style="12" customWidth="1"/>
    <col min="6157" max="6157" width="9.140625" style="12"/>
    <col min="6158" max="6158" width="9.85546875" style="12" customWidth="1"/>
    <col min="6159" max="6159" width="10.28515625" style="12" customWidth="1"/>
    <col min="6160" max="6402" width="9.140625" style="12"/>
    <col min="6403" max="6403" width="16.140625" style="12" customWidth="1"/>
    <col min="6404" max="6404" width="13.85546875" style="12" customWidth="1"/>
    <col min="6405" max="6405" width="8" style="12" customWidth="1"/>
    <col min="6406" max="6406" width="7.85546875" style="12" customWidth="1"/>
    <col min="6407" max="6407" width="9.140625" style="12"/>
    <col min="6408" max="6408" width="10" style="12" customWidth="1"/>
    <col min="6409" max="6409" width="10.140625" style="12" customWidth="1"/>
    <col min="6410" max="6410" width="9.140625" style="12"/>
    <col min="6411" max="6411" width="9.85546875" style="12" customWidth="1"/>
    <col min="6412" max="6412" width="10.140625" style="12" customWidth="1"/>
    <col min="6413" max="6413" width="9.140625" style="12"/>
    <col min="6414" max="6414" width="9.85546875" style="12" customWidth="1"/>
    <col min="6415" max="6415" width="10.28515625" style="12" customWidth="1"/>
    <col min="6416" max="6658" width="9.140625" style="12"/>
    <col min="6659" max="6659" width="16.140625" style="12" customWidth="1"/>
    <col min="6660" max="6660" width="13.85546875" style="12" customWidth="1"/>
    <col min="6661" max="6661" width="8" style="12" customWidth="1"/>
    <col min="6662" max="6662" width="7.85546875" style="12" customWidth="1"/>
    <col min="6663" max="6663" width="9.140625" style="12"/>
    <col min="6664" max="6664" width="10" style="12" customWidth="1"/>
    <col min="6665" max="6665" width="10.140625" style="12" customWidth="1"/>
    <col min="6666" max="6666" width="9.140625" style="12"/>
    <col min="6667" max="6667" width="9.85546875" style="12" customWidth="1"/>
    <col min="6668" max="6668" width="10.140625" style="12" customWidth="1"/>
    <col min="6669" max="6669" width="9.140625" style="12"/>
    <col min="6670" max="6670" width="9.85546875" style="12" customWidth="1"/>
    <col min="6671" max="6671" width="10.28515625" style="12" customWidth="1"/>
    <col min="6672" max="6914" width="9.140625" style="12"/>
    <col min="6915" max="6915" width="16.140625" style="12" customWidth="1"/>
    <col min="6916" max="6916" width="13.85546875" style="12" customWidth="1"/>
    <col min="6917" max="6917" width="8" style="12" customWidth="1"/>
    <col min="6918" max="6918" width="7.85546875" style="12" customWidth="1"/>
    <col min="6919" max="6919" width="9.140625" style="12"/>
    <col min="6920" max="6920" width="10" style="12" customWidth="1"/>
    <col min="6921" max="6921" width="10.140625" style="12" customWidth="1"/>
    <col min="6922" max="6922" width="9.140625" style="12"/>
    <col min="6923" max="6923" width="9.85546875" style="12" customWidth="1"/>
    <col min="6924" max="6924" width="10.140625" style="12" customWidth="1"/>
    <col min="6925" max="6925" width="9.140625" style="12"/>
    <col min="6926" max="6926" width="9.85546875" style="12" customWidth="1"/>
    <col min="6927" max="6927" width="10.28515625" style="12" customWidth="1"/>
    <col min="6928" max="7170" width="9.140625" style="12"/>
    <col min="7171" max="7171" width="16.140625" style="12" customWidth="1"/>
    <col min="7172" max="7172" width="13.85546875" style="12" customWidth="1"/>
    <col min="7173" max="7173" width="8" style="12" customWidth="1"/>
    <col min="7174" max="7174" width="7.85546875" style="12" customWidth="1"/>
    <col min="7175" max="7175" width="9.140625" style="12"/>
    <col min="7176" max="7176" width="10" style="12" customWidth="1"/>
    <col min="7177" max="7177" width="10.140625" style="12" customWidth="1"/>
    <col min="7178" max="7178" width="9.140625" style="12"/>
    <col min="7179" max="7179" width="9.85546875" style="12" customWidth="1"/>
    <col min="7180" max="7180" width="10.140625" style="12" customWidth="1"/>
    <col min="7181" max="7181" width="9.140625" style="12"/>
    <col min="7182" max="7182" width="9.85546875" style="12" customWidth="1"/>
    <col min="7183" max="7183" width="10.28515625" style="12" customWidth="1"/>
    <col min="7184" max="7426" width="9.140625" style="12"/>
    <col min="7427" max="7427" width="16.140625" style="12" customWidth="1"/>
    <col min="7428" max="7428" width="13.85546875" style="12" customWidth="1"/>
    <col min="7429" max="7429" width="8" style="12" customWidth="1"/>
    <col min="7430" max="7430" width="7.85546875" style="12" customWidth="1"/>
    <col min="7431" max="7431" width="9.140625" style="12"/>
    <col min="7432" max="7432" width="10" style="12" customWidth="1"/>
    <col min="7433" max="7433" width="10.140625" style="12" customWidth="1"/>
    <col min="7434" max="7434" width="9.140625" style="12"/>
    <col min="7435" max="7435" width="9.85546875" style="12" customWidth="1"/>
    <col min="7436" max="7436" width="10.140625" style="12" customWidth="1"/>
    <col min="7437" max="7437" width="9.140625" style="12"/>
    <col min="7438" max="7438" width="9.85546875" style="12" customWidth="1"/>
    <col min="7439" max="7439" width="10.28515625" style="12" customWidth="1"/>
    <col min="7440" max="7682" width="9.140625" style="12"/>
    <col min="7683" max="7683" width="16.140625" style="12" customWidth="1"/>
    <col min="7684" max="7684" width="13.85546875" style="12" customWidth="1"/>
    <col min="7685" max="7685" width="8" style="12" customWidth="1"/>
    <col min="7686" max="7686" width="7.85546875" style="12" customWidth="1"/>
    <col min="7687" max="7687" width="9.140625" style="12"/>
    <col min="7688" max="7688" width="10" style="12" customWidth="1"/>
    <col min="7689" max="7689" width="10.140625" style="12" customWidth="1"/>
    <col min="7690" max="7690" width="9.140625" style="12"/>
    <col min="7691" max="7691" width="9.85546875" style="12" customWidth="1"/>
    <col min="7692" max="7692" width="10.140625" style="12" customWidth="1"/>
    <col min="7693" max="7693" width="9.140625" style="12"/>
    <col min="7694" max="7694" width="9.85546875" style="12" customWidth="1"/>
    <col min="7695" max="7695" width="10.28515625" style="12" customWidth="1"/>
    <col min="7696" max="7938" width="9.140625" style="12"/>
    <col min="7939" max="7939" width="16.140625" style="12" customWidth="1"/>
    <col min="7940" max="7940" width="13.85546875" style="12" customWidth="1"/>
    <col min="7941" max="7941" width="8" style="12" customWidth="1"/>
    <col min="7942" max="7942" width="7.85546875" style="12" customWidth="1"/>
    <col min="7943" max="7943" width="9.140625" style="12"/>
    <col min="7944" max="7944" width="10" style="12" customWidth="1"/>
    <col min="7945" max="7945" width="10.140625" style="12" customWidth="1"/>
    <col min="7946" max="7946" width="9.140625" style="12"/>
    <col min="7947" max="7947" width="9.85546875" style="12" customWidth="1"/>
    <col min="7948" max="7948" width="10.140625" style="12" customWidth="1"/>
    <col min="7949" max="7949" width="9.140625" style="12"/>
    <col min="7950" max="7950" width="9.85546875" style="12" customWidth="1"/>
    <col min="7951" max="7951" width="10.28515625" style="12" customWidth="1"/>
    <col min="7952" max="8194" width="9.140625" style="12"/>
    <col min="8195" max="8195" width="16.140625" style="12" customWidth="1"/>
    <col min="8196" max="8196" width="13.85546875" style="12" customWidth="1"/>
    <col min="8197" max="8197" width="8" style="12" customWidth="1"/>
    <col min="8198" max="8198" width="7.85546875" style="12" customWidth="1"/>
    <col min="8199" max="8199" width="9.140625" style="12"/>
    <col min="8200" max="8200" width="10" style="12" customWidth="1"/>
    <col min="8201" max="8201" width="10.140625" style="12" customWidth="1"/>
    <col min="8202" max="8202" width="9.140625" style="12"/>
    <col min="8203" max="8203" width="9.85546875" style="12" customWidth="1"/>
    <col min="8204" max="8204" width="10.140625" style="12" customWidth="1"/>
    <col min="8205" max="8205" width="9.140625" style="12"/>
    <col min="8206" max="8206" width="9.85546875" style="12" customWidth="1"/>
    <col min="8207" max="8207" width="10.28515625" style="12" customWidth="1"/>
    <col min="8208" max="8450" width="9.140625" style="12"/>
    <col min="8451" max="8451" width="16.140625" style="12" customWidth="1"/>
    <col min="8452" max="8452" width="13.85546875" style="12" customWidth="1"/>
    <col min="8453" max="8453" width="8" style="12" customWidth="1"/>
    <col min="8454" max="8454" width="7.85546875" style="12" customWidth="1"/>
    <col min="8455" max="8455" width="9.140625" style="12"/>
    <col min="8456" max="8456" width="10" style="12" customWidth="1"/>
    <col min="8457" max="8457" width="10.140625" style="12" customWidth="1"/>
    <col min="8458" max="8458" width="9.140625" style="12"/>
    <col min="8459" max="8459" width="9.85546875" style="12" customWidth="1"/>
    <col min="8460" max="8460" width="10.140625" style="12" customWidth="1"/>
    <col min="8461" max="8461" width="9.140625" style="12"/>
    <col min="8462" max="8462" width="9.85546875" style="12" customWidth="1"/>
    <col min="8463" max="8463" width="10.28515625" style="12" customWidth="1"/>
    <col min="8464" max="8706" width="9.140625" style="12"/>
    <col min="8707" max="8707" width="16.140625" style="12" customWidth="1"/>
    <col min="8708" max="8708" width="13.85546875" style="12" customWidth="1"/>
    <col min="8709" max="8709" width="8" style="12" customWidth="1"/>
    <col min="8710" max="8710" width="7.85546875" style="12" customWidth="1"/>
    <col min="8711" max="8711" width="9.140625" style="12"/>
    <col min="8712" max="8712" width="10" style="12" customWidth="1"/>
    <col min="8713" max="8713" width="10.140625" style="12" customWidth="1"/>
    <col min="8714" max="8714" width="9.140625" style="12"/>
    <col min="8715" max="8715" width="9.85546875" style="12" customWidth="1"/>
    <col min="8716" max="8716" width="10.140625" style="12" customWidth="1"/>
    <col min="8717" max="8717" width="9.140625" style="12"/>
    <col min="8718" max="8718" width="9.85546875" style="12" customWidth="1"/>
    <col min="8719" max="8719" width="10.28515625" style="12" customWidth="1"/>
    <col min="8720" max="8962" width="9.140625" style="12"/>
    <col min="8963" max="8963" width="16.140625" style="12" customWidth="1"/>
    <col min="8964" max="8964" width="13.85546875" style="12" customWidth="1"/>
    <col min="8965" max="8965" width="8" style="12" customWidth="1"/>
    <col min="8966" max="8966" width="7.85546875" style="12" customWidth="1"/>
    <col min="8967" max="8967" width="9.140625" style="12"/>
    <col min="8968" max="8968" width="10" style="12" customWidth="1"/>
    <col min="8969" max="8969" width="10.140625" style="12" customWidth="1"/>
    <col min="8970" max="8970" width="9.140625" style="12"/>
    <col min="8971" max="8971" width="9.85546875" style="12" customWidth="1"/>
    <col min="8972" max="8972" width="10.140625" style="12" customWidth="1"/>
    <col min="8973" max="8973" width="9.140625" style="12"/>
    <col min="8974" max="8974" width="9.85546875" style="12" customWidth="1"/>
    <col min="8975" max="8975" width="10.28515625" style="12" customWidth="1"/>
    <col min="8976" max="9218" width="9.140625" style="12"/>
    <col min="9219" max="9219" width="16.140625" style="12" customWidth="1"/>
    <col min="9220" max="9220" width="13.85546875" style="12" customWidth="1"/>
    <col min="9221" max="9221" width="8" style="12" customWidth="1"/>
    <col min="9222" max="9222" width="7.85546875" style="12" customWidth="1"/>
    <col min="9223" max="9223" width="9.140625" style="12"/>
    <col min="9224" max="9224" width="10" style="12" customWidth="1"/>
    <col min="9225" max="9225" width="10.140625" style="12" customWidth="1"/>
    <col min="9226" max="9226" width="9.140625" style="12"/>
    <col min="9227" max="9227" width="9.85546875" style="12" customWidth="1"/>
    <col min="9228" max="9228" width="10.140625" style="12" customWidth="1"/>
    <col min="9229" max="9229" width="9.140625" style="12"/>
    <col min="9230" max="9230" width="9.85546875" style="12" customWidth="1"/>
    <col min="9231" max="9231" width="10.28515625" style="12" customWidth="1"/>
    <col min="9232" max="9474" width="9.140625" style="12"/>
    <col min="9475" max="9475" width="16.140625" style="12" customWidth="1"/>
    <col min="9476" max="9476" width="13.85546875" style="12" customWidth="1"/>
    <col min="9477" max="9477" width="8" style="12" customWidth="1"/>
    <col min="9478" max="9478" width="7.85546875" style="12" customWidth="1"/>
    <col min="9479" max="9479" width="9.140625" style="12"/>
    <col min="9480" max="9480" width="10" style="12" customWidth="1"/>
    <col min="9481" max="9481" width="10.140625" style="12" customWidth="1"/>
    <col min="9482" max="9482" width="9.140625" style="12"/>
    <col min="9483" max="9483" width="9.85546875" style="12" customWidth="1"/>
    <col min="9484" max="9484" width="10.140625" style="12" customWidth="1"/>
    <col min="9485" max="9485" width="9.140625" style="12"/>
    <col min="9486" max="9486" width="9.85546875" style="12" customWidth="1"/>
    <col min="9487" max="9487" width="10.28515625" style="12" customWidth="1"/>
    <col min="9488" max="9730" width="9.140625" style="12"/>
    <col min="9731" max="9731" width="16.140625" style="12" customWidth="1"/>
    <col min="9732" max="9732" width="13.85546875" style="12" customWidth="1"/>
    <col min="9733" max="9733" width="8" style="12" customWidth="1"/>
    <col min="9734" max="9734" width="7.85546875" style="12" customWidth="1"/>
    <col min="9735" max="9735" width="9.140625" style="12"/>
    <col min="9736" max="9736" width="10" style="12" customWidth="1"/>
    <col min="9737" max="9737" width="10.140625" style="12" customWidth="1"/>
    <col min="9738" max="9738" width="9.140625" style="12"/>
    <col min="9739" max="9739" width="9.85546875" style="12" customWidth="1"/>
    <col min="9740" max="9740" width="10.140625" style="12" customWidth="1"/>
    <col min="9741" max="9741" width="9.140625" style="12"/>
    <col min="9742" max="9742" width="9.85546875" style="12" customWidth="1"/>
    <col min="9743" max="9743" width="10.28515625" style="12" customWidth="1"/>
    <col min="9744" max="9986" width="9.140625" style="12"/>
    <col min="9987" max="9987" width="16.140625" style="12" customWidth="1"/>
    <col min="9988" max="9988" width="13.85546875" style="12" customWidth="1"/>
    <col min="9989" max="9989" width="8" style="12" customWidth="1"/>
    <col min="9990" max="9990" width="7.85546875" style="12" customWidth="1"/>
    <col min="9991" max="9991" width="9.140625" style="12"/>
    <col min="9992" max="9992" width="10" style="12" customWidth="1"/>
    <col min="9993" max="9993" width="10.140625" style="12" customWidth="1"/>
    <col min="9994" max="9994" width="9.140625" style="12"/>
    <col min="9995" max="9995" width="9.85546875" style="12" customWidth="1"/>
    <col min="9996" max="9996" width="10.140625" style="12" customWidth="1"/>
    <col min="9997" max="9997" width="9.140625" style="12"/>
    <col min="9998" max="9998" width="9.85546875" style="12" customWidth="1"/>
    <col min="9999" max="9999" width="10.28515625" style="12" customWidth="1"/>
    <col min="10000" max="10242" width="9.140625" style="12"/>
    <col min="10243" max="10243" width="16.140625" style="12" customWidth="1"/>
    <col min="10244" max="10244" width="13.85546875" style="12" customWidth="1"/>
    <col min="10245" max="10245" width="8" style="12" customWidth="1"/>
    <col min="10246" max="10246" width="7.85546875" style="12" customWidth="1"/>
    <col min="10247" max="10247" width="9.140625" style="12"/>
    <col min="10248" max="10248" width="10" style="12" customWidth="1"/>
    <col min="10249" max="10249" width="10.140625" style="12" customWidth="1"/>
    <col min="10250" max="10250" width="9.140625" style="12"/>
    <col min="10251" max="10251" width="9.85546875" style="12" customWidth="1"/>
    <col min="10252" max="10252" width="10.140625" style="12" customWidth="1"/>
    <col min="10253" max="10253" width="9.140625" style="12"/>
    <col min="10254" max="10254" width="9.85546875" style="12" customWidth="1"/>
    <col min="10255" max="10255" width="10.28515625" style="12" customWidth="1"/>
    <col min="10256" max="10498" width="9.140625" style="12"/>
    <col min="10499" max="10499" width="16.140625" style="12" customWidth="1"/>
    <col min="10500" max="10500" width="13.85546875" style="12" customWidth="1"/>
    <col min="10501" max="10501" width="8" style="12" customWidth="1"/>
    <col min="10502" max="10502" width="7.85546875" style="12" customWidth="1"/>
    <col min="10503" max="10503" width="9.140625" style="12"/>
    <col min="10504" max="10504" width="10" style="12" customWidth="1"/>
    <col min="10505" max="10505" width="10.140625" style="12" customWidth="1"/>
    <col min="10506" max="10506" width="9.140625" style="12"/>
    <col min="10507" max="10507" width="9.85546875" style="12" customWidth="1"/>
    <col min="10508" max="10508" width="10.140625" style="12" customWidth="1"/>
    <col min="10509" max="10509" width="9.140625" style="12"/>
    <col min="10510" max="10510" width="9.85546875" style="12" customWidth="1"/>
    <col min="10511" max="10511" width="10.28515625" style="12" customWidth="1"/>
    <col min="10512" max="10754" width="9.140625" style="12"/>
    <col min="10755" max="10755" width="16.140625" style="12" customWidth="1"/>
    <col min="10756" max="10756" width="13.85546875" style="12" customWidth="1"/>
    <col min="10757" max="10757" width="8" style="12" customWidth="1"/>
    <col min="10758" max="10758" width="7.85546875" style="12" customWidth="1"/>
    <col min="10759" max="10759" width="9.140625" style="12"/>
    <col min="10760" max="10760" width="10" style="12" customWidth="1"/>
    <col min="10761" max="10761" width="10.140625" style="12" customWidth="1"/>
    <col min="10762" max="10762" width="9.140625" style="12"/>
    <col min="10763" max="10763" width="9.85546875" style="12" customWidth="1"/>
    <col min="10764" max="10764" width="10.140625" style="12" customWidth="1"/>
    <col min="10765" max="10765" width="9.140625" style="12"/>
    <col min="10766" max="10766" width="9.85546875" style="12" customWidth="1"/>
    <col min="10767" max="10767" width="10.28515625" style="12" customWidth="1"/>
    <col min="10768" max="11010" width="9.140625" style="12"/>
    <col min="11011" max="11011" width="16.140625" style="12" customWidth="1"/>
    <col min="11012" max="11012" width="13.85546875" style="12" customWidth="1"/>
    <col min="11013" max="11013" width="8" style="12" customWidth="1"/>
    <col min="11014" max="11014" width="7.85546875" style="12" customWidth="1"/>
    <col min="11015" max="11015" width="9.140625" style="12"/>
    <col min="11016" max="11016" width="10" style="12" customWidth="1"/>
    <col min="11017" max="11017" width="10.140625" style="12" customWidth="1"/>
    <col min="11018" max="11018" width="9.140625" style="12"/>
    <col min="11019" max="11019" width="9.85546875" style="12" customWidth="1"/>
    <col min="11020" max="11020" width="10.140625" style="12" customWidth="1"/>
    <col min="11021" max="11021" width="9.140625" style="12"/>
    <col min="11022" max="11022" width="9.85546875" style="12" customWidth="1"/>
    <col min="11023" max="11023" width="10.28515625" style="12" customWidth="1"/>
    <col min="11024" max="11266" width="9.140625" style="12"/>
    <col min="11267" max="11267" width="16.140625" style="12" customWidth="1"/>
    <col min="11268" max="11268" width="13.85546875" style="12" customWidth="1"/>
    <col min="11269" max="11269" width="8" style="12" customWidth="1"/>
    <col min="11270" max="11270" width="7.85546875" style="12" customWidth="1"/>
    <col min="11271" max="11271" width="9.140625" style="12"/>
    <col min="11272" max="11272" width="10" style="12" customWidth="1"/>
    <col min="11273" max="11273" width="10.140625" style="12" customWidth="1"/>
    <col min="11274" max="11274" width="9.140625" style="12"/>
    <col min="11275" max="11275" width="9.85546875" style="12" customWidth="1"/>
    <col min="11276" max="11276" width="10.140625" style="12" customWidth="1"/>
    <col min="11277" max="11277" width="9.140625" style="12"/>
    <col min="11278" max="11278" width="9.85546875" style="12" customWidth="1"/>
    <col min="11279" max="11279" width="10.28515625" style="12" customWidth="1"/>
    <col min="11280" max="11522" width="9.140625" style="12"/>
    <col min="11523" max="11523" width="16.140625" style="12" customWidth="1"/>
    <col min="11524" max="11524" width="13.85546875" style="12" customWidth="1"/>
    <col min="11525" max="11525" width="8" style="12" customWidth="1"/>
    <col min="11526" max="11526" width="7.85546875" style="12" customWidth="1"/>
    <col min="11527" max="11527" width="9.140625" style="12"/>
    <col min="11528" max="11528" width="10" style="12" customWidth="1"/>
    <col min="11529" max="11529" width="10.140625" style="12" customWidth="1"/>
    <col min="11530" max="11530" width="9.140625" style="12"/>
    <col min="11531" max="11531" width="9.85546875" style="12" customWidth="1"/>
    <col min="11532" max="11532" width="10.140625" style="12" customWidth="1"/>
    <col min="11533" max="11533" width="9.140625" style="12"/>
    <col min="11534" max="11534" width="9.85546875" style="12" customWidth="1"/>
    <col min="11535" max="11535" width="10.28515625" style="12" customWidth="1"/>
    <col min="11536" max="11778" width="9.140625" style="12"/>
    <col min="11779" max="11779" width="16.140625" style="12" customWidth="1"/>
    <col min="11780" max="11780" width="13.85546875" style="12" customWidth="1"/>
    <col min="11781" max="11781" width="8" style="12" customWidth="1"/>
    <col min="11782" max="11782" width="7.85546875" style="12" customWidth="1"/>
    <col min="11783" max="11783" width="9.140625" style="12"/>
    <col min="11784" max="11784" width="10" style="12" customWidth="1"/>
    <col min="11785" max="11785" width="10.140625" style="12" customWidth="1"/>
    <col min="11786" max="11786" width="9.140625" style="12"/>
    <col min="11787" max="11787" width="9.85546875" style="12" customWidth="1"/>
    <col min="11788" max="11788" width="10.140625" style="12" customWidth="1"/>
    <col min="11789" max="11789" width="9.140625" style="12"/>
    <col min="11790" max="11790" width="9.85546875" style="12" customWidth="1"/>
    <col min="11791" max="11791" width="10.28515625" style="12" customWidth="1"/>
    <col min="11792" max="12034" width="9.140625" style="12"/>
    <col min="12035" max="12035" width="16.140625" style="12" customWidth="1"/>
    <col min="12036" max="12036" width="13.85546875" style="12" customWidth="1"/>
    <col min="12037" max="12037" width="8" style="12" customWidth="1"/>
    <col min="12038" max="12038" width="7.85546875" style="12" customWidth="1"/>
    <col min="12039" max="12039" width="9.140625" style="12"/>
    <col min="12040" max="12040" width="10" style="12" customWidth="1"/>
    <col min="12041" max="12041" width="10.140625" style="12" customWidth="1"/>
    <col min="12042" max="12042" width="9.140625" style="12"/>
    <col min="12043" max="12043" width="9.85546875" style="12" customWidth="1"/>
    <col min="12044" max="12044" width="10.140625" style="12" customWidth="1"/>
    <col min="12045" max="12045" width="9.140625" style="12"/>
    <col min="12046" max="12046" width="9.85546875" style="12" customWidth="1"/>
    <col min="12047" max="12047" width="10.28515625" style="12" customWidth="1"/>
    <col min="12048" max="12290" width="9.140625" style="12"/>
    <col min="12291" max="12291" width="16.140625" style="12" customWidth="1"/>
    <col min="12292" max="12292" width="13.85546875" style="12" customWidth="1"/>
    <col min="12293" max="12293" width="8" style="12" customWidth="1"/>
    <col min="12294" max="12294" width="7.85546875" style="12" customWidth="1"/>
    <col min="12295" max="12295" width="9.140625" style="12"/>
    <col min="12296" max="12296" width="10" style="12" customWidth="1"/>
    <col min="12297" max="12297" width="10.140625" style="12" customWidth="1"/>
    <col min="12298" max="12298" width="9.140625" style="12"/>
    <col min="12299" max="12299" width="9.85546875" style="12" customWidth="1"/>
    <col min="12300" max="12300" width="10.140625" style="12" customWidth="1"/>
    <col min="12301" max="12301" width="9.140625" style="12"/>
    <col min="12302" max="12302" width="9.85546875" style="12" customWidth="1"/>
    <col min="12303" max="12303" width="10.28515625" style="12" customWidth="1"/>
    <col min="12304" max="12546" width="9.140625" style="12"/>
    <col min="12547" max="12547" width="16.140625" style="12" customWidth="1"/>
    <col min="12548" max="12548" width="13.85546875" style="12" customWidth="1"/>
    <col min="12549" max="12549" width="8" style="12" customWidth="1"/>
    <col min="12550" max="12550" width="7.85546875" style="12" customWidth="1"/>
    <col min="12551" max="12551" width="9.140625" style="12"/>
    <col min="12552" max="12552" width="10" style="12" customWidth="1"/>
    <col min="12553" max="12553" width="10.140625" style="12" customWidth="1"/>
    <col min="12554" max="12554" width="9.140625" style="12"/>
    <col min="12555" max="12555" width="9.85546875" style="12" customWidth="1"/>
    <col min="12556" max="12556" width="10.140625" style="12" customWidth="1"/>
    <col min="12557" max="12557" width="9.140625" style="12"/>
    <col min="12558" max="12558" width="9.85546875" style="12" customWidth="1"/>
    <col min="12559" max="12559" width="10.28515625" style="12" customWidth="1"/>
    <col min="12560" max="12802" width="9.140625" style="12"/>
    <col min="12803" max="12803" width="16.140625" style="12" customWidth="1"/>
    <col min="12804" max="12804" width="13.85546875" style="12" customWidth="1"/>
    <col min="12805" max="12805" width="8" style="12" customWidth="1"/>
    <col min="12806" max="12806" width="7.85546875" style="12" customWidth="1"/>
    <col min="12807" max="12807" width="9.140625" style="12"/>
    <col min="12808" max="12808" width="10" style="12" customWidth="1"/>
    <col min="12809" max="12809" width="10.140625" style="12" customWidth="1"/>
    <col min="12810" max="12810" width="9.140625" style="12"/>
    <col min="12811" max="12811" width="9.85546875" style="12" customWidth="1"/>
    <col min="12812" max="12812" width="10.140625" style="12" customWidth="1"/>
    <col min="12813" max="12813" width="9.140625" style="12"/>
    <col min="12814" max="12814" width="9.85546875" style="12" customWidth="1"/>
    <col min="12815" max="12815" width="10.28515625" style="12" customWidth="1"/>
    <col min="12816" max="13058" width="9.140625" style="12"/>
    <col min="13059" max="13059" width="16.140625" style="12" customWidth="1"/>
    <col min="13060" max="13060" width="13.85546875" style="12" customWidth="1"/>
    <col min="13061" max="13061" width="8" style="12" customWidth="1"/>
    <col min="13062" max="13062" width="7.85546875" style="12" customWidth="1"/>
    <col min="13063" max="13063" width="9.140625" style="12"/>
    <col min="13064" max="13064" width="10" style="12" customWidth="1"/>
    <col min="13065" max="13065" width="10.140625" style="12" customWidth="1"/>
    <col min="13066" max="13066" width="9.140625" style="12"/>
    <col min="13067" max="13067" width="9.85546875" style="12" customWidth="1"/>
    <col min="13068" max="13068" width="10.140625" style="12" customWidth="1"/>
    <col min="13069" max="13069" width="9.140625" style="12"/>
    <col min="13070" max="13070" width="9.85546875" style="12" customWidth="1"/>
    <col min="13071" max="13071" width="10.28515625" style="12" customWidth="1"/>
    <col min="13072" max="13314" width="9.140625" style="12"/>
    <col min="13315" max="13315" width="16.140625" style="12" customWidth="1"/>
    <col min="13316" max="13316" width="13.85546875" style="12" customWidth="1"/>
    <col min="13317" max="13317" width="8" style="12" customWidth="1"/>
    <col min="13318" max="13318" width="7.85546875" style="12" customWidth="1"/>
    <col min="13319" max="13319" width="9.140625" style="12"/>
    <col min="13320" max="13320" width="10" style="12" customWidth="1"/>
    <col min="13321" max="13321" width="10.140625" style="12" customWidth="1"/>
    <col min="13322" max="13322" width="9.140625" style="12"/>
    <col min="13323" max="13323" width="9.85546875" style="12" customWidth="1"/>
    <col min="13324" max="13324" width="10.140625" style="12" customWidth="1"/>
    <col min="13325" max="13325" width="9.140625" style="12"/>
    <col min="13326" max="13326" width="9.85546875" style="12" customWidth="1"/>
    <col min="13327" max="13327" width="10.28515625" style="12" customWidth="1"/>
    <col min="13328" max="13570" width="9.140625" style="12"/>
    <col min="13571" max="13571" width="16.140625" style="12" customWidth="1"/>
    <col min="13572" max="13572" width="13.85546875" style="12" customWidth="1"/>
    <col min="13573" max="13573" width="8" style="12" customWidth="1"/>
    <col min="13574" max="13574" width="7.85546875" style="12" customWidth="1"/>
    <col min="13575" max="13575" width="9.140625" style="12"/>
    <col min="13576" max="13576" width="10" style="12" customWidth="1"/>
    <col min="13577" max="13577" width="10.140625" style="12" customWidth="1"/>
    <col min="13578" max="13578" width="9.140625" style="12"/>
    <col min="13579" max="13579" width="9.85546875" style="12" customWidth="1"/>
    <col min="13580" max="13580" width="10.140625" style="12" customWidth="1"/>
    <col min="13581" max="13581" width="9.140625" style="12"/>
    <col min="13582" max="13582" width="9.85546875" style="12" customWidth="1"/>
    <col min="13583" max="13583" width="10.28515625" style="12" customWidth="1"/>
    <col min="13584" max="13826" width="9.140625" style="12"/>
    <col min="13827" max="13827" width="16.140625" style="12" customWidth="1"/>
    <col min="13828" max="13828" width="13.85546875" style="12" customWidth="1"/>
    <col min="13829" max="13829" width="8" style="12" customWidth="1"/>
    <col min="13830" max="13830" width="7.85546875" style="12" customWidth="1"/>
    <col min="13831" max="13831" width="9.140625" style="12"/>
    <col min="13832" max="13832" width="10" style="12" customWidth="1"/>
    <col min="13833" max="13833" width="10.140625" style="12" customWidth="1"/>
    <col min="13834" max="13834" width="9.140625" style="12"/>
    <col min="13835" max="13835" width="9.85546875" style="12" customWidth="1"/>
    <col min="13836" max="13836" width="10.140625" style="12" customWidth="1"/>
    <col min="13837" max="13837" width="9.140625" style="12"/>
    <col min="13838" max="13838" width="9.85546875" style="12" customWidth="1"/>
    <col min="13839" max="13839" width="10.28515625" style="12" customWidth="1"/>
    <col min="13840" max="14082" width="9.140625" style="12"/>
    <col min="14083" max="14083" width="16.140625" style="12" customWidth="1"/>
    <col min="14084" max="14084" width="13.85546875" style="12" customWidth="1"/>
    <col min="14085" max="14085" width="8" style="12" customWidth="1"/>
    <col min="14086" max="14086" width="7.85546875" style="12" customWidth="1"/>
    <col min="14087" max="14087" width="9.140625" style="12"/>
    <col min="14088" max="14088" width="10" style="12" customWidth="1"/>
    <col min="14089" max="14089" width="10.140625" style="12" customWidth="1"/>
    <col min="14090" max="14090" width="9.140625" style="12"/>
    <col min="14091" max="14091" width="9.85546875" style="12" customWidth="1"/>
    <col min="14092" max="14092" width="10.140625" style="12" customWidth="1"/>
    <col min="14093" max="14093" width="9.140625" style="12"/>
    <col min="14094" max="14094" width="9.85546875" style="12" customWidth="1"/>
    <col min="14095" max="14095" width="10.28515625" style="12" customWidth="1"/>
    <col min="14096" max="14338" width="9.140625" style="12"/>
    <col min="14339" max="14339" width="16.140625" style="12" customWidth="1"/>
    <col min="14340" max="14340" width="13.85546875" style="12" customWidth="1"/>
    <col min="14341" max="14341" width="8" style="12" customWidth="1"/>
    <col min="14342" max="14342" width="7.85546875" style="12" customWidth="1"/>
    <col min="14343" max="14343" width="9.140625" style="12"/>
    <col min="14344" max="14344" width="10" style="12" customWidth="1"/>
    <col min="14345" max="14345" width="10.140625" style="12" customWidth="1"/>
    <col min="14346" max="14346" width="9.140625" style="12"/>
    <col min="14347" max="14347" width="9.85546875" style="12" customWidth="1"/>
    <col min="14348" max="14348" width="10.140625" style="12" customWidth="1"/>
    <col min="14349" max="14349" width="9.140625" style="12"/>
    <col min="14350" max="14350" width="9.85546875" style="12" customWidth="1"/>
    <col min="14351" max="14351" width="10.28515625" style="12" customWidth="1"/>
    <col min="14352" max="14594" width="9.140625" style="12"/>
    <col min="14595" max="14595" width="16.140625" style="12" customWidth="1"/>
    <col min="14596" max="14596" width="13.85546875" style="12" customWidth="1"/>
    <col min="14597" max="14597" width="8" style="12" customWidth="1"/>
    <col min="14598" max="14598" width="7.85546875" style="12" customWidth="1"/>
    <col min="14599" max="14599" width="9.140625" style="12"/>
    <col min="14600" max="14600" width="10" style="12" customWidth="1"/>
    <col min="14601" max="14601" width="10.140625" style="12" customWidth="1"/>
    <col min="14602" max="14602" width="9.140625" style="12"/>
    <col min="14603" max="14603" width="9.85546875" style="12" customWidth="1"/>
    <col min="14604" max="14604" width="10.140625" style="12" customWidth="1"/>
    <col min="14605" max="14605" width="9.140625" style="12"/>
    <col min="14606" max="14606" width="9.85546875" style="12" customWidth="1"/>
    <col min="14607" max="14607" width="10.28515625" style="12" customWidth="1"/>
    <col min="14608" max="14850" width="9.140625" style="12"/>
    <col min="14851" max="14851" width="16.140625" style="12" customWidth="1"/>
    <col min="14852" max="14852" width="13.85546875" style="12" customWidth="1"/>
    <col min="14853" max="14853" width="8" style="12" customWidth="1"/>
    <col min="14854" max="14854" width="7.85546875" style="12" customWidth="1"/>
    <col min="14855" max="14855" width="9.140625" style="12"/>
    <col min="14856" max="14856" width="10" style="12" customWidth="1"/>
    <col min="14857" max="14857" width="10.140625" style="12" customWidth="1"/>
    <col min="14858" max="14858" width="9.140625" style="12"/>
    <col min="14859" max="14859" width="9.85546875" style="12" customWidth="1"/>
    <col min="14860" max="14860" width="10.140625" style="12" customWidth="1"/>
    <col min="14861" max="14861" width="9.140625" style="12"/>
    <col min="14862" max="14862" width="9.85546875" style="12" customWidth="1"/>
    <col min="14863" max="14863" width="10.28515625" style="12" customWidth="1"/>
    <col min="14864" max="15106" width="9.140625" style="12"/>
    <col min="15107" max="15107" width="16.140625" style="12" customWidth="1"/>
    <col min="15108" max="15108" width="13.85546875" style="12" customWidth="1"/>
    <col min="15109" max="15109" width="8" style="12" customWidth="1"/>
    <col min="15110" max="15110" width="7.85546875" style="12" customWidth="1"/>
    <col min="15111" max="15111" width="9.140625" style="12"/>
    <col min="15112" max="15112" width="10" style="12" customWidth="1"/>
    <col min="15113" max="15113" width="10.140625" style="12" customWidth="1"/>
    <col min="15114" max="15114" width="9.140625" style="12"/>
    <col min="15115" max="15115" width="9.85546875" style="12" customWidth="1"/>
    <col min="15116" max="15116" width="10.140625" style="12" customWidth="1"/>
    <col min="15117" max="15117" width="9.140625" style="12"/>
    <col min="15118" max="15118" width="9.85546875" style="12" customWidth="1"/>
    <col min="15119" max="15119" width="10.28515625" style="12" customWidth="1"/>
    <col min="15120" max="15362" width="9.140625" style="12"/>
    <col min="15363" max="15363" width="16.140625" style="12" customWidth="1"/>
    <col min="15364" max="15364" width="13.85546875" style="12" customWidth="1"/>
    <col min="15365" max="15365" width="8" style="12" customWidth="1"/>
    <col min="15366" max="15366" width="7.85546875" style="12" customWidth="1"/>
    <col min="15367" max="15367" width="9.140625" style="12"/>
    <col min="15368" max="15368" width="10" style="12" customWidth="1"/>
    <col min="15369" max="15369" width="10.140625" style="12" customWidth="1"/>
    <col min="15370" max="15370" width="9.140625" style="12"/>
    <col min="15371" max="15371" width="9.85546875" style="12" customWidth="1"/>
    <col min="15372" max="15372" width="10.140625" style="12" customWidth="1"/>
    <col min="15373" max="15373" width="9.140625" style="12"/>
    <col min="15374" max="15374" width="9.85546875" style="12" customWidth="1"/>
    <col min="15375" max="15375" width="10.28515625" style="12" customWidth="1"/>
    <col min="15376" max="15618" width="9.140625" style="12"/>
    <col min="15619" max="15619" width="16.140625" style="12" customWidth="1"/>
    <col min="15620" max="15620" width="13.85546875" style="12" customWidth="1"/>
    <col min="15621" max="15621" width="8" style="12" customWidth="1"/>
    <col min="15622" max="15622" width="7.85546875" style="12" customWidth="1"/>
    <col min="15623" max="15623" width="9.140625" style="12"/>
    <col min="15624" max="15624" width="10" style="12" customWidth="1"/>
    <col min="15625" max="15625" width="10.140625" style="12" customWidth="1"/>
    <col min="15626" max="15626" width="9.140625" style="12"/>
    <col min="15627" max="15627" width="9.85546875" style="12" customWidth="1"/>
    <col min="15628" max="15628" width="10.140625" style="12" customWidth="1"/>
    <col min="15629" max="15629" width="9.140625" style="12"/>
    <col min="15630" max="15630" width="9.85546875" style="12" customWidth="1"/>
    <col min="15631" max="15631" width="10.28515625" style="12" customWidth="1"/>
    <col min="15632" max="15874" width="9.140625" style="12"/>
    <col min="15875" max="15875" width="16.140625" style="12" customWidth="1"/>
    <col min="15876" max="15876" width="13.85546875" style="12" customWidth="1"/>
    <col min="15877" max="15877" width="8" style="12" customWidth="1"/>
    <col min="15878" max="15878" width="7.85546875" style="12" customWidth="1"/>
    <col min="15879" max="15879" width="9.140625" style="12"/>
    <col min="15880" max="15880" width="10" style="12" customWidth="1"/>
    <col min="15881" max="15881" width="10.140625" style="12" customWidth="1"/>
    <col min="15882" max="15882" width="9.140625" style="12"/>
    <col min="15883" max="15883" width="9.85546875" style="12" customWidth="1"/>
    <col min="15884" max="15884" width="10.140625" style="12" customWidth="1"/>
    <col min="15885" max="15885" width="9.140625" style="12"/>
    <col min="15886" max="15886" width="9.85546875" style="12" customWidth="1"/>
    <col min="15887" max="15887" width="10.28515625" style="12" customWidth="1"/>
    <col min="15888" max="16130" width="9.140625" style="12"/>
    <col min="16131" max="16131" width="16.140625" style="12" customWidth="1"/>
    <col min="16132" max="16132" width="13.85546875" style="12" customWidth="1"/>
    <col min="16133" max="16133" width="8" style="12" customWidth="1"/>
    <col min="16134" max="16134" width="7.85546875" style="12" customWidth="1"/>
    <col min="16135" max="16135" width="9.140625" style="12"/>
    <col min="16136" max="16136" width="10" style="12" customWidth="1"/>
    <col min="16137" max="16137" width="10.140625" style="12" customWidth="1"/>
    <col min="16138" max="16138" width="9.140625" style="12"/>
    <col min="16139" max="16139" width="9.85546875" style="12" customWidth="1"/>
    <col min="16140" max="16140" width="10.140625" style="12" customWidth="1"/>
    <col min="16141" max="16141" width="9.140625" style="12"/>
    <col min="16142" max="16142" width="9.85546875" style="12" customWidth="1"/>
    <col min="16143" max="16143" width="10.28515625" style="12" customWidth="1"/>
    <col min="16144" max="16384" width="9.140625" style="12"/>
  </cols>
  <sheetData>
    <row r="1" spans="1:31" ht="15">
      <c r="B1" s="183" t="s">
        <v>10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31">
      <c r="P2" s="13" t="s">
        <v>9</v>
      </c>
    </row>
    <row r="3" spans="1:31" ht="30" customHeight="1">
      <c r="A3" s="166" t="s">
        <v>0</v>
      </c>
      <c r="B3" s="166" t="s">
        <v>12</v>
      </c>
      <c r="C3" s="166" t="s">
        <v>1</v>
      </c>
      <c r="D3" s="166"/>
      <c r="E3" s="166"/>
      <c r="F3" s="184" t="s">
        <v>76</v>
      </c>
      <c r="G3" s="168" t="s">
        <v>132</v>
      </c>
      <c r="H3" s="168"/>
      <c r="I3" s="168"/>
      <c r="J3" s="168" t="s">
        <v>133</v>
      </c>
      <c r="K3" s="168"/>
      <c r="L3" s="168"/>
      <c r="M3" s="168" t="s">
        <v>134</v>
      </c>
      <c r="N3" s="168"/>
      <c r="O3" s="168"/>
      <c r="P3" s="161" t="s">
        <v>104</v>
      </c>
    </row>
    <row r="4" spans="1:31">
      <c r="A4" s="166"/>
      <c r="B4" s="166"/>
      <c r="C4" s="166" t="s">
        <v>2</v>
      </c>
      <c r="D4" s="166" t="s">
        <v>3</v>
      </c>
      <c r="E4" s="166" t="s">
        <v>4</v>
      </c>
      <c r="F4" s="185"/>
      <c r="G4" s="169" t="s">
        <v>5</v>
      </c>
      <c r="H4" s="171" t="s">
        <v>11</v>
      </c>
      <c r="I4" s="172"/>
      <c r="J4" s="169" t="s">
        <v>5</v>
      </c>
      <c r="K4" s="171" t="s">
        <v>11</v>
      </c>
      <c r="L4" s="172"/>
      <c r="M4" s="169" t="s">
        <v>5</v>
      </c>
      <c r="N4" s="171" t="s">
        <v>11</v>
      </c>
      <c r="O4" s="172"/>
      <c r="P4" s="162"/>
    </row>
    <row r="5" spans="1:31" ht="38.25">
      <c r="A5" s="166"/>
      <c r="B5" s="166"/>
      <c r="C5" s="166"/>
      <c r="D5" s="166"/>
      <c r="E5" s="166"/>
      <c r="F5" s="186"/>
      <c r="G5" s="169"/>
      <c r="H5" s="14" t="s">
        <v>6</v>
      </c>
      <c r="I5" s="14" t="s">
        <v>7</v>
      </c>
      <c r="J5" s="169"/>
      <c r="K5" s="14" t="s">
        <v>6</v>
      </c>
      <c r="L5" s="14" t="s">
        <v>7</v>
      </c>
      <c r="M5" s="169"/>
      <c r="N5" s="14" t="s">
        <v>6</v>
      </c>
      <c r="O5" s="14" t="s">
        <v>7</v>
      </c>
      <c r="P5" s="163"/>
    </row>
    <row r="6" spans="1:31" ht="15">
      <c r="A6" s="234">
        <v>1</v>
      </c>
      <c r="B6" s="235" t="s">
        <v>57</v>
      </c>
      <c r="C6" s="247" t="s">
        <v>58</v>
      </c>
      <c r="D6" s="248">
        <v>4</v>
      </c>
      <c r="E6" s="248"/>
      <c r="F6" s="356">
        <f>[2]МКД!$H$346</f>
        <v>140</v>
      </c>
      <c r="G6" s="268">
        <f>I6+H6</f>
        <v>8492.7000000000007</v>
      </c>
      <c r="H6" s="268">
        <v>4324.88</v>
      </c>
      <c r="I6" s="268">
        <v>4167.82</v>
      </c>
      <c r="J6" s="268">
        <f>L6+K6</f>
        <v>9843.51</v>
      </c>
      <c r="K6" s="268">
        <v>5595</v>
      </c>
      <c r="L6" s="268">
        <v>4248.51</v>
      </c>
      <c r="M6" s="249">
        <f>O6+N6</f>
        <v>9942.6</v>
      </c>
      <c r="N6" s="249">
        <v>5741</v>
      </c>
      <c r="O6" s="249">
        <v>4201.6000000000004</v>
      </c>
      <c r="P6" s="251">
        <f>M6/F6</f>
        <v>71.018571428571434</v>
      </c>
      <c r="Q6" s="274"/>
    </row>
    <row r="7" spans="1:31" ht="15">
      <c r="A7" s="234">
        <f>A6+1</f>
        <v>2</v>
      </c>
      <c r="B7" s="235" t="s">
        <v>57</v>
      </c>
      <c r="C7" s="235" t="s">
        <v>44</v>
      </c>
      <c r="D7" s="236">
        <v>3</v>
      </c>
      <c r="E7" s="236"/>
      <c r="F7" s="357">
        <f>[2]МКД!$H$347</f>
        <v>218</v>
      </c>
      <c r="G7" s="268">
        <f>I7+H7</f>
        <v>4851.5600000000004</v>
      </c>
      <c r="H7" s="268">
        <v>2836.9</v>
      </c>
      <c r="I7" s="268">
        <v>2014.66</v>
      </c>
      <c r="J7" s="268">
        <f>L7+K7</f>
        <v>5086.2000000000007</v>
      </c>
      <c r="K7" s="268">
        <v>3132.3</v>
      </c>
      <c r="L7" s="268">
        <v>1953.9</v>
      </c>
      <c r="M7" s="268">
        <f>O7+N7</f>
        <v>5067.1000000000004</v>
      </c>
      <c r="N7" s="268">
        <v>3194</v>
      </c>
      <c r="O7" s="268">
        <v>1873.1</v>
      </c>
      <c r="P7" s="237">
        <f>M7/F7</f>
        <v>23.243577981651377</v>
      </c>
      <c r="Q7" s="274"/>
    </row>
    <row r="8" spans="1:31" ht="15">
      <c r="A8" s="234">
        <f>A7+1</f>
        <v>3</v>
      </c>
      <c r="B8" s="235" t="s">
        <v>57</v>
      </c>
      <c r="C8" s="235" t="s">
        <v>21</v>
      </c>
      <c r="D8" s="236">
        <v>24</v>
      </c>
      <c r="E8" s="236">
        <v>1</v>
      </c>
      <c r="F8" s="357">
        <f>[2]МКД!$H$343</f>
        <v>33</v>
      </c>
      <c r="G8" s="268">
        <f>I8+H8</f>
        <v>1128.5999999999999</v>
      </c>
      <c r="H8" s="268">
        <v>732.03</v>
      </c>
      <c r="I8" s="268">
        <v>396.57</v>
      </c>
      <c r="J8" s="268">
        <f>L8+K8</f>
        <v>1444</v>
      </c>
      <c r="K8" s="268">
        <v>803</v>
      </c>
      <c r="L8" s="268">
        <v>641</v>
      </c>
      <c r="M8" s="268">
        <f>O8+N8</f>
        <v>1462.31</v>
      </c>
      <c r="N8" s="268">
        <v>821</v>
      </c>
      <c r="O8" s="268">
        <v>641.30999999999995</v>
      </c>
      <c r="P8" s="237">
        <f>M8/F8</f>
        <v>44.312424242424242</v>
      </c>
      <c r="Q8" s="274"/>
    </row>
    <row r="9" spans="1:31" ht="15">
      <c r="A9" s="234">
        <f t="shared" ref="A9" si="0">A8+1</f>
        <v>4</v>
      </c>
      <c r="B9" s="235" t="s">
        <v>57</v>
      </c>
      <c r="C9" s="235" t="s">
        <v>21</v>
      </c>
      <c r="D9" s="236">
        <v>24</v>
      </c>
      <c r="E9" s="236">
        <v>2</v>
      </c>
      <c r="F9" s="357">
        <f>[2]МКД!$H$344</f>
        <v>33</v>
      </c>
      <c r="G9" s="268">
        <f>I9+H9</f>
        <v>783.02</v>
      </c>
      <c r="H9" s="268">
        <v>571.04</v>
      </c>
      <c r="I9" s="268">
        <v>211.98</v>
      </c>
      <c r="J9" s="268">
        <f>L9+K9</f>
        <v>1029.1100000000001</v>
      </c>
      <c r="K9" s="268">
        <v>658</v>
      </c>
      <c r="L9" s="268">
        <v>371.11</v>
      </c>
      <c r="M9" s="268">
        <f>O9+N9</f>
        <v>1005.8399999999999</v>
      </c>
      <c r="N9" s="268">
        <v>647.02</v>
      </c>
      <c r="O9" s="268">
        <v>358.82</v>
      </c>
      <c r="P9" s="237">
        <f>M9/F9</f>
        <v>30.479999999999997</v>
      </c>
      <c r="Q9" s="274"/>
    </row>
    <row r="10" spans="1:31" s="39" customFormat="1" ht="15">
      <c r="A10" s="238"/>
      <c r="B10" s="239" t="s">
        <v>56</v>
      </c>
      <c r="C10" s="239"/>
      <c r="D10" s="239"/>
      <c r="E10" s="239"/>
      <c r="F10" s="358">
        <f>SUM(F6:F9)</f>
        <v>424</v>
      </c>
      <c r="G10" s="43">
        <f t="shared" ref="F10:K10" si="1">SUM(G6:G9)</f>
        <v>15255.880000000003</v>
      </c>
      <c r="H10" s="43">
        <f t="shared" si="1"/>
        <v>8464.85</v>
      </c>
      <c r="I10" s="43">
        <f t="shared" si="1"/>
        <v>6791.0299999999988</v>
      </c>
      <c r="J10" s="43">
        <f t="shared" si="1"/>
        <v>17402.82</v>
      </c>
      <c r="K10" s="43">
        <f t="shared" si="1"/>
        <v>10188.299999999999</v>
      </c>
      <c r="L10" s="43">
        <f t="shared" ref="L10" si="2">SUM(L6:L9)</f>
        <v>7214.5199999999995</v>
      </c>
      <c r="M10" s="43">
        <f>SUM(M6:M9)</f>
        <v>17477.850000000002</v>
      </c>
      <c r="N10" s="43">
        <f>SUM(N6:N9)</f>
        <v>10403.02</v>
      </c>
      <c r="O10" s="43">
        <f>SUM(O6:O9)</f>
        <v>7074.83</v>
      </c>
      <c r="P10" s="238"/>
      <c r="Q10" s="359"/>
    </row>
    <row r="11" spans="1:31" s="79" customFormat="1" ht="15" customHeight="1">
      <c r="A11" s="242" t="s">
        <v>113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360"/>
    </row>
    <row r="12" spans="1:31" ht="15">
      <c r="A12" s="234">
        <v>1</v>
      </c>
      <c r="B12" s="235" t="s">
        <v>57</v>
      </c>
      <c r="C12" s="235" t="s">
        <v>21</v>
      </c>
      <c r="D12" s="236">
        <v>26</v>
      </c>
      <c r="E12" s="236"/>
      <c r="F12" s="357">
        <f>[2]МКД!$H$345</f>
        <v>42</v>
      </c>
      <c r="G12" s="268">
        <f>I12+H12</f>
        <v>1363.38</v>
      </c>
      <c r="H12" s="268">
        <v>963.4</v>
      </c>
      <c r="I12" s="268">
        <v>399.98</v>
      </c>
      <c r="J12" s="147">
        <f>L12+K12</f>
        <v>1597.21</v>
      </c>
      <c r="K12" s="147">
        <v>899</v>
      </c>
      <c r="L12" s="147">
        <v>698.21</v>
      </c>
      <c r="M12" s="147">
        <f>O12+N12</f>
        <v>1597.21</v>
      </c>
      <c r="N12" s="147">
        <v>899</v>
      </c>
      <c r="O12" s="147">
        <v>698.21</v>
      </c>
      <c r="P12" s="237">
        <f>M12/F12</f>
        <v>38.028809523809528</v>
      </c>
      <c r="Q12" s="274"/>
    </row>
    <row r="13" spans="1:31" s="39" customFormat="1" ht="15">
      <c r="A13" s="238"/>
      <c r="B13" s="239" t="s">
        <v>56</v>
      </c>
      <c r="C13" s="239"/>
      <c r="D13" s="239"/>
      <c r="E13" s="239"/>
      <c r="F13" s="358">
        <f>SUM(F12)</f>
        <v>42</v>
      </c>
      <c r="G13" s="358">
        <f t="shared" ref="G13:O13" si="3">SUM(G12)</f>
        <v>1363.38</v>
      </c>
      <c r="H13" s="358">
        <f t="shared" si="3"/>
        <v>963.4</v>
      </c>
      <c r="I13" s="358">
        <f t="shared" si="3"/>
        <v>399.98</v>
      </c>
      <c r="J13" s="358">
        <f t="shared" si="3"/>
        <v>1597.21</v>
      </c>
      <c r="K13" s="358">
        <f t="shared" si="3"/>
        <v>899</v>
      </c>
      <c r="L13" s="358">
        <f t="shared" si="3"/>
        <v>698.21</v>
      </c>
      <c r="M13" s="358">
        <f>SUM(M12)</f>
        <v>1597.21</v>
      </c>
      <c r="N13" s="358">
        <f t="shared" si="3"/>
        <v>899</v>
      </c>
      <c r="O13" s="358">
        <f t="shared" si="3"/>
        <v>698.21</v>
      </c>
      <c r="P13" s="238"/>
      <c r="Q13" s="359"/>
    </row>
    <row r="15" spans="1:31" s="244" customFormat="1" ht="15">
      <c r="B15" s="245" t="s">
        <v>137</v>
      </c>
    </row>
    <row r="16" spans="1:31" s="244" customFormat="1" ht="15">
      <c r="B16" s="175" t="s">
        <v>141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</row>
  </sheetData>
  <sortState ref="C6:P9">
    <sortCondition descending="1" ref="M6:M9"/>
  </sortState>
  <mergeCells count="20">
    <mergeCell ref="K4:L4"/>
    <mergeCell ref="M3:O3"/>
    <mergeCell ref="M4:M5"/>
    <mergeCell ref="B16:AE16"/>
    <mergeCell ref="B1:P1"/>
    <mergeCell ref="N4:O4"/>
    <mergeCell ref="F3:F5"/>
    <mergeCell ref="A11:Q11"/>
    <mergeCell ref="G3:I3"/>
    <mergeCell ref="G4:G5"/>
    <mergeCell ref="H4:I4"/>
    <mergeCell ref="P3:P5"/>
    <mergeCell ref="A3:A5"/>
    <mergeCell ref="B3:B5"/>
    <mergeCell ref="C3:E3"/>
    <mergeCell ref="J3:L3"/>
    <mergeCell ref="C4:C5"/>
    <mergeCell ref="D4:D5"/>
    <mergeCell ref="E4:E5"/>
    <mergeCell ref="J4:J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7"/>
  <sheetViews>
    <sheetView zoomScaleSheetLayoutView="100" workbookViewId="0">
      <selection activeCell="K23" sqref="K23"/>
    </sheetView>
  </sheetViews>
  <sheetFormatPr defaultRowHeight="15"/>
  <cols>
    <col min="1" max="1" width="5" customWidth="1"/>
    <col min="2" max="2" width="22.140625" customWidth="1"/>
    <col min="3" max="3" width="21.5703125" customWidth="1"/>
    <col min="4" max="4" width="7.7109375" customWidth="1"/>
    <col min="7" max="15" width="12.85546875" customWidth="1"/>
  </cols>
  <sheetData>
    <row r="1" spans="1:16">
      <c r="C1" s="173" t="s">
        <v>10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>
      <c r="G2" s="3"/>
      <c r="H2" s="3"/>
      <c r="I2" s="3"/>
      <c r="J2" s="3"/>
      <c r="K2" s="3"/>
      <c r="L2" s="3"/>
      <c r="M2" s="3"/>
      <c r="N2" s="3"/>
      <c r="O2" s="3"/>
      <c r="P2" s="3" t="s">
        <v>9</v>
      </c>
    </row>
    <row r="3" spans="1:16" ht="29.25" customHeight="1">
      <c r="A3" s="166" t="s">
        <v>0</v>
      </c>
      <c r="B3" s="166" t="s">
        <v>12</v>
      </c>
      <c r="C3" s="166" t="s">
        <v>1</v>
      </c>
      <c r="D3" s="166"/>
      <c r="E3" s="166"/>
      <c r="F3" s="184" t="s">
        <v>76</v>
      </c>
      <c r="G3" s="168" t="s">
        <v>132</v>
      </c>
      <c r="H3" s="168"/>
      <c r="I3" s="168"/>
      <c r="J3" s="168" t="s">
        <v>133</v>
      </c>
      <c r="K3" s="168"/>
      <c r="L3" s="168"/>
      <c r="M3" s="168" t="s">
        <v>134</v>
      </c>
      <c r="N3" s="168"/>
      <c r="O3" s="168"/>
      <c r="P3" s="161" t="s">
        <v>104</v>
      </c>
    </row>
    <row r="4" spans="1:16" ht="13.5" customHeight="1">
      <c r="A4" s="166"/>
      <c r="B4" s="166"/>
      <c r="C4" s="166" t="s">
        <v>2</v>
      </c>
      <c r="D4" s="166" t="s">
        <v>3</v>
      </c>
      <c r="E4" s="166" t="s">
        <v>4</v>
      </c>
      <c r="F4" s="185"/>
      <c r="G4" s="169" t="s">
        <v>5</v>
      </c>
      <c r="H4" s="171" t="s">
        <v>11</v>
      </c>
      <c r="I4" s="172"/>
      <c r="J4" s="169" t="s">
        <v>5</v>
      </c>
      <c r="K4" s="171" t="s">
        <v>11</v>
      </c>
      <c r="L4" s="172"/>
      <c r="M4" s="169" t="s">
        <v>5</v>
      </c>
      <c r="N4" s="171" t="s">
        <v>11</v>
      </c>
      <c r="O4" s="172"/>
      <c r="P4" s="162"/>
    </row>
    <row r="5" spans="1:16" ht="38.25">
      <c r="A5" s="166"/>
      <c r="B5" s="166"/>
      <c r="C5" s="166"/>
      <c r="D5" s="166"/>
      <c r="E5" s="166"/>
      <c r="F5" s="186"/>
      <c r="G5" s="169"/>
      <c r="H5" s="14" t="s">
        <v>6</v>
      </c>
      <c r="I5" s="14" t="s">
        <v>7</v>
      </c>
      <c r="J5" s="169"/>
      <c r="K5" s="14" t="s">
        <v>6</v>
      </c>
      <c r="L5" s="14" t="s">
        <v>7</v>
      </c>
      <c r="M5" s="169"/>
      <c r="N5" s="14" t="s">
        <v>6</v>
      </c>
      <c r="O5" s="14" t="s">
        <v>7</v>
      </c>
      <c r="P5" s="163"/>
    </row>
    <row r="6" spans="1:16">
      <c r="A6" s="2">
        <v>1</v>
      </c>
      <c r="B6" s="1" t="s">
        <v>59</v>
      </c>
      <c r="C6" s="252" t="s">
        <v>61</v>
      </c>
      <c r="D6" s="226">
        <v>8</v>
      </c>
      <c r="E6" s="226"/>
      <c r="F6" s="226">
        <f>[1]МКД!$H$228</f>
        <v>98</v>
      </c>
      <c r="G6" s="148">
        <f>H6+I6</f>
        <v>1525.54</v>
      </c>
      <c r="H6" s="148">
        <v>611.14</v>
      </c>
      <c r="I6" s="148">
        <v>914.4</v>
      </c>
      <c r="J6" s="148">
        <f>K6+L6</f>
        <v>1229.5999999999999</v>
      </c>
      <c r="K6" s="148">
        <v>472.8</v>
      </c>
      <c r="L6" s="148">
        <v>756.8</v>
      </c>
      <c r="M6" s="226">
        <f>N6+O6</f>
        <v>1321.5</v>
      </c>
      <c r="N6" s="226">
        <v>428.9</v>
      </c>
      <c r="O6" s="226">
        <v>892.6</v>
      </c>
      <c r="P6" s="228">
        <f>M6/F6</f>
        <v>13.48469387755102</v>
      </c>
    </row>
    <row r="7" spans="1:16">
      <c r="A7" s="2">
        <f>1+A6</f>
        <v>2</v>
      </c>
      <c r="B7" s="1" t="s">
        <v>59</v>
      </c>
      <c r="C7" s="1" t="s">
        <v>60</v>
      </c>
      <c r="D7" s="148">
        <v>38</v>
      </c>
      <c r="E7" s="148"/>
      <c r="F7" s="111">
        <f>[1]МКД!$H$206</f>
        <v>143</v>
      </c>
      <c r="G7" s="148">
        <f>H7+I7</f>
        <v>2005.12</v>
      </c>
      <c r="H7" s="148">
        <v>725.3</v>
      </c>
      <c r="I7" s="148">
        <v>1279.82</v>
      </c>
      <c r="J7" s="148">
        <f>K7+L7</f>
        <v>1349.3000000000002</v>
      </c>
      <c r="K7" s="148">
        <v>552.1</v>
      </c>
      <c r="L7" s="148">
        <v>797.2</v>
      </c>
      <c r="M7" s="148">
        <f>N7+O7</f>
        <v>1164.72</v>
      </c>
      <c r="N7" s="148">
        <v>568.5</v>
      </c>
      <c r="O7" s="148">
        <v>596.22</v>
      </c>
      <c r="P7" s="4">
        <f>M7/F7</f>
        <v>8.1448951048951059</v>
      </c>
    </row>
    <row r="8" spans="1:16">
      <c r="A8" s="67">
        <f t="shared" ref="A8:A13" si="0">1+A7</f>
        <v>3</v>
      </c>
      <c r="B8" s="1" t="s">
        <v>59</v>
      </c>
      <c r="C8" s="1" t="s">
        <v>61</v>
      </c>
      <c r="D8" s="148">
        <v>6</v>
      </c>
      <c r="E8" s="148"/>
      <c r="F8" s="111">
        <v>133</v>
      </c>
      <c r="G8" s="148"/>
      <c r="H8" s="148"/>
      <c r="I8" s="148"/>
      <c r="J8" s="148">
        <f>K8+L8</f>
        <v>767.26</v>
      </c>
      <c r="K8" s="148">
        <v>369.24</v>
      </c>
      <c r="L8" s="148">
        <v>398.02</v>
      </c>
      <c r="M8" s="148">
        <f>N8+O8</f>
        <v>837.4</v>
      </c>
      <c r="N8" s="148">
        <v>368.5</v>
      </c>
      <c r="O8" s="148">
        <v>468.9</v>
      </c>
      <c r="P8" s="4">
        <f>M8/F8</f>
        <v>6.2962406015037589</v>
      </c>
    </row>
    <row r="9" spans="1:16">
      <c r="A9" s="67">
        <f t="shared" si="0"/>
        <v>4</v>
      </c>
      <c r="B9" s="1" t="s">
        <v>59</v>
      </c>
      <c r="C9" s="1" t="s">
        <v>19</v>
      </c>
      <c r="D9" s="148">
        <v>36</v>
      </c>
      <c r="E9" s="148"/>
      <c r="F9" s="111">
        <v>66</v>
      </c>
      <c r="G9" s="148"/>
      <c r="H9" s="148"/>
      <c r="I9" s="148"/>
      <c r="J9" s="148">
        <f>K9+L9</f>
        <v>243.9</v>
      </c>
      <c r="K9" s="148">
        <v>243.9</v>
      </c>
      <c r="L9" s="148"/>
      <c r="M9" s="148">
        <f>N9+O9</f>
        <v>268.39999999999998</v>
      </c>
      <c r="N9" s="148">
        <v>268.39999999999998</v>
      </c>
      <c r="O9" s="148"/>
      <c r="P9" s="4">
        <f>M9/F9</f>
        <v>4.0666666666666664</v>
      </c>
    </row>
    <row r="10" spans="1:16">
      <c r="A10" s="67">
        <f t="shared" si="0"/>
        <v>5</v>
      </c>
      <c r="B10" s="1" t="s">
        <v>59</v>
      </c>
      <c r="C10" s="1" t="s">
        <v>61</v>
      </c>
      <c r="D10" s="148">
        <v>3</v>
      </c>
      <c r="E10" s="148"/>
      <c r="F10" s="111">
        <f>[1]МКД!$H$69</f>
        <v>49</v>
      </c>
      <c r="G10" s="148">
        <f>H10+I10</f>
        <v>305.8</v>
      </c>
      <c r="H10" s="148">
        <v>245.2</v>
      </c>
      <c r="I10" s="148">
        <v>60.6</v>
      </c>
      <c r="J10" s="148">
        <f>K10+L10</f>
        <v>278.40000000000003</v>
      </c>
      <c r="K10" s="148">
        <v>236.8</v>
      </c>
      <c r="L10" s="148">
        <v>41.6</v>
      </c>
      <c r="M10" s="148">
        <f>N10+O10</f>
        <v>250.29999999999998</v>
      </c>
      <c r="N10" s="148">
        <v>208.7</v>
      </c>
      <c r="O10" s="148">
        <v>41.6</v>
      </c>
      <c r="P10" s="4">
        <f>M10/F10</f>
        <v>5.1081632653061222</v>
      </c>
    </row>
    <row r="11" spans="1:16">
      <c r="A11" s="127">
        <f t="shared" si="0"/>
        <v>6</v>
      </c>
      <c r="B11" s="1" t="s">
        <v>59</v>
      </c>
      <c r="C11" s="1" t="s">
        <v>55</v>
      </c>
      <c r="D11" s="148">
        <v>1</v>
      </c>
      <c r="E11" s="148"/>
      <c r="F11" s="111">
        <f>[1]МКД!$H$181</f>
        <v>24</v>
      </c>
      <c r="G11" s="148">
        <f>H11+I11</f>
        <v>62.7</v>
      </c>
      <c r="H11" s="148">
        <v>61.1</v>
      </c>
      <c r="I11" s="148">
        <v>1.6</v>
      </c>
      <c r="J11" s="148">
        <f>K11+L11</f>
        <v>69.199999999999989</v>
      </c>
      <c r="K11" s="148">
        <v>67.599999999999994</v>
      </c>
      <c r="L11" s="148">
        <v>1.6</v>
      </c>
      <c r="M11" s="148">
        <f>N11+O11</f>
        <v>62.800000000000004</v>
      </c>
      <c r="N11" s="148">
        <v>61.2</v>
      </c>
      <c r="O11" s="148">
        <v>1.6</v>
      </c>
      <c r="P11" s="4">
        <f>M11/F11</f>
        <v>2.6166666666666667</v>
      </c>
    </row>
    <row r="12" spans="1:16">
      <c r="A12" s="127">
        <f t="shared" si="0"/>
        <v>7</v>
      </c>
      <c r="B12" s="1" t="s">
        <v>59</v>
      </c>
      <c r="C12" s="1" t="s">
        <v>55</v>
      </c>
      <c r="D12" s="148">
        <v>3</v>
      </c>
      <c r="E12" s="148"/>
      <c r="F12" s="111">
        <f>[1]МКД!$H$192</f>
        <v>24</v>
      </c>
      <c r="G12" s="148">
        <f>H12+I12</f>
        <v>78.5</v>
      </c>
      <c r="H12" s="148">
        <v>65.3</v>
      </c>
      <c r="I12" s="148">
        <v>13.2</v>
      </c>
      <c r="J12" s="148">
        <f>K12+L12</f>
        <v>70.7</v>
      </c>
      <c r="K12" s="148">
        <v>68.900000000000006</v>
      </c>
      <c r="L12" s="148">
        <v>1.8</v>
      </c>
      <c r="M12" s="148">
        <f>N12+O12</f>
        <v>60.9</v>
      </c>
      <c r="N12" s="148">
        <v>60.9</v>
      </c>
      <c r="O12" s="148">
        <v>0</v>
      </c>
      <c r="P12" s="4">
        <f>M12/F12</f>
        <v>2.5375000000000001</v>
      </c>
    </row>
    <row r="13" spans="1:16">
      <c r="A13" s="127">
        <f t="shared" si="0"/>
        <v>8</v>
      </c>
      <c r="B13" s="1" t="s">
        <v>59</v>
      </c>
      <c r="C13" s="1" t="s">
        <v>51</v>
      </c>
      <c r="D13" s="148">
        <v>10</v>
      </c>
      <c r="E13" s="148"/>
      <c r="F13" s="111">
        <v>12</v>
      </c>
      <c r="G13" s="148"/>
      <c r="H13" s="148"/>
      <c r="I13" s="148"/>
      <c r="J13" s="148">
        <f>K13+L13</f>
        <v>34.200000000000003</v>
      </c>
      <c r="K13" s="148">
        <v>34.200000000000003</v>
      </c>
      <c r="L13" s="148"/>
      <c r="M13" s="148">
        <f>N13+O13</f>
        <v>33.700000000000003</v>
      </c>
      <c r="N13" s="148">
        <v>33.700000000000003</v>
      </c>
      <c r="O13" s="148"/>
      <c r="P13" s="4">
        <f>M13/F13</f>
        <v>2.8083333333333336</v>
      </c>
    </row>
    <row r="14" spans="1:16" s="42" customFormat="1">
      <c r="A14" s="40"/>
      <c r="B14" s="41" t="s">
        <v>8</v>
      </c>
      <c r="C14" s="41"/>
      <c r="D14" s="40"/>
      <c r="E14" s="40"/>
      <c r="F14" s="40">
        <f>SUM(F6:F13)</f>
        <v>549</v>
      </c>
      <c r="G14" s="40">
        <f t="shared" ref="G14:I14" si="1">SUM(G6:G10)</f>
        <v>3836.46</v>
      </c>
      <c r="H14" s="40">
        <f t="shared" si="1"/>
        <v>1581.64</v>
      </c>
      <c r="I14" s="40">
        <f t="shared" si="1"/>
        <v>2254.8199999999997</v>
      </c>
      <c r="J14" s="40">
        <f>SUM(J6:J13)</f>
        <v>4042.5599999999995</v>
      </c>
      <c r="K14" s="40">
        <f>SUM(K6:K13)</f>
        <v>2045.5400000000002</v>
      </c>
      <c r="L14" s="40">
        <f>SUM(L6:L13)</f>
        <v>1997.0199999999998</v>
      </c>
      <c r="M14" s="40">
        <f>SUM(M6:M13)</f>
        <v>3999.7200000000007</v>
      </c>
      <c r="N14" s="40">
        <f>SUM(N6:N13)</f>
        <v>1998.8000000000004</v>
      </c>
      <c r="O14" s="40">
        <f>SUM(O6:O13)</f>
        <v>2000.92</v>
      </c>
      <c r="P14" s="40"/>
    </row>
    <row r="16" spans="1:16" s="253" customFormat="1" ht="12.75">
      <c r="B16" s="254" t="s">
        <v>137</v>
      </c>
    </row>
    <row r="17" spans="2:31" s="253" customFormat="1" ht="44.25" customHeight="1">
      <c r="B17" s="175" t="s">
        <v>142</v>
      </c>
      <c r="C17" s="175"/>
      <c r="D17" s="175"/>
      <c r="E17" s="175"/>
      <c r="F17" s="175"/>
      <c r="G17" s="175"/>
      <c r="H17" s="175"/>
      <c r="I17" s="175"/>
      <c r="J17" s="175"/>
      <c r="K17" s="17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</row>
  </sheetData>
  <sortState ref="C6:P13">
    <sortCondition descending="1" ref="M6:M13"/>
  </sortState>
  <mergeCells count="19">
    <mergeCell ref="B17:K17"/>
    <mergeCell ref="A3:A5"/>
    <mergeCell ref="B3:B5"/>
    <mergeCell ref="C3:E3"/>
    <mergeCell ref="C4:C5"/>
    <mergeCell ref="D4:D5"/>
    <mergeCell ref="E4:E5"/>
    <mergeCell ref="F3:F5"/>
    <mergeCell ref="C1:O1"/>
    <mergeCell ref="H4:I4"/>
    <mergeCell ref="P3:P5"/>
    <mergeCell ref="G3:I3"/>
    <mergeCell ref="G4:G5"/>
    <mergeCell ref="J3:L3"/>
    <mergeCell ref="J4:J5"/>
    <mergeCell ref="K4:L4"/>
    <mergeCell ref="M3:O3"/>
    <mergeCell ref="M4:M5"/>
    <mergeCell ref="N4:O4"/>
  </mergeCells>
  <pageMargins left="0.15748031496062992" right="0.1574803149606299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5"/>
  <sheetViews>
    <sheetView workbookViewId="0">
      <pane xSplit="6" ySplit="8" topLeftCell="G27" activePane="bottomRight" state="frozen"/>
      <selection pane="topRight" activeCell="G1" sqref="G1"/>
      <selection pane="bottomLeft" activeCell="A9" sqref="A9"/>
      <selection pane="bottomRight" activeCell="Q40" sqref="Q40"/>
    </sheetView>
  </sheetViews>
  <sheetFormatPr defaultColWidth="16.5703125" defaultRowHeight="12.75"/>
  <cols>
    <col min="1" max="1" width="6" style="12" customWidth="1"/>
    <col min="2" max="2" width="21" style="12" customWidth="1"/>
    <col min="3" max="3" width="14.5703125" style="12" customWidth="1"/>
    <col min="4" max="4" width="12.5703125" style="12" customWidth="1"/>
    <col min="5" max="5" width="6.85546875" style="12" customWidth="1"/>
    <col min="6" max="6" width="9.28515625" style="12" customWidth="1"/>
    <col min="7" max="7" width="11.7109375" style="12" customWidth="1"/>
    <col min="8" max="8" width="10.28515625" style="12" customWidth="1"/>
    <col min="9" max="9" width="14.140625" style="12" customWidth="1"/>
    <col min="10" max="10" width="11" style="12" customWidth="1"/>
    <col min="11" max="11" width="12.42578125" style="12" customWidth="1"/>
    <col min="12" max="12" width="14.42578125" style="12" customWidth="1"/>
    <col min="13" max="13" width="12" style="12" customWidth="1"/>
    <col min="14" max="14" width="13.28515625" style="12" customWidth="1"/>
    <col min="15" max="15" width="13.7109375" style="12" customWidth="1"/>
    <col min="16" max="16" width="14.5703125" style="12" customWidth="1"/>
    <col min="17" max="17" width="23.140625" style="12" customWidth="1"/>
    <col min="18" max="254" width="16.5703125" style="12"/>
    <col min="255" max="255" width="14.140625" style="12" customWidth="1"/>
    <col min="256" max="257" width="16.5703125" style="12" customWidth="1"/>
    <col min="258" max="258" width="12.5703125" style="12" customWidth="1"/>
    <col min="259" max="259" width="6.85546875" style="12" customWidth="1"/>
    <col min="260" max="510" width="16.5703125" style="12"/>
    <col min="511" max="511" width="14.140625" style="12" customWidth="1"/>
    <col min="512" max="513" width="16.5703125" style="12" customWidth="1"/>
    <col min="514" max="514" width="12.5703125" style="12" customWidth="1"/>
    <col min="515" max="515" width="6.85546875" style="12" customWidth="1"/>
    <col min="516" max="766" width="16.5703125" style="12"/>
    <col min="767" max="767" width="14.140625" style="12" customWidth="1"/>
    <col min="768" max="769" width="16.5703125" style="12" customWidth="1"/>
    <col min="770" max="770" width="12.5703125" style="12" customWidth="1"/>
    <col min="771" max="771" width="6.85546875" style="12" customWidth="1"/>
    <col min="772" max="1022" width="16.5703125" style="12"/>
    <col min="1023" max="1023" width="14.140625" style="12" customWidth="1"/>
    <col min="1024" max="1025" width="16.5703125" style="12" customWidth="1"/>
    <col min="1026" max="1026" width="12.5703125" style="12" customWidth="1"/>
    <col min="1027" max="1027" width="6.85546875" style="12" customWidth="1"/>
    <col min="1028" max="1278" width="16.5703125" style="12"/>
    <col min="1279" max="1279" width="14.140625" style="12" customWidth="1"/>
    <col min="1280" max="1281" width="16.5703125" style="12" customWidth="1"/>
    <col min="1282" max="1282" width="12.5703125" style="12" customWidth="1"/>
    <col min="1283" max="1283" width="6.85546875" style="12" customWidth="1"/>
    <col min="1284" max="1534" width="16.5703125" style="12"/>
    <col min="1535" max="1535" width="14.140625" style="12" customWidth="1"/>
    <col min="1536" max="1537" width="16.5703125" style="12" customWidth="1"/>
    <col min="1538" max="1538" width="12.5703125" style="12" customWidth="1"/>
    <col min="1539" max="1539" width="6.85546875" style="12" customWidth="1"/>
    <col min="1540" max="1790" width="16.5703125" style="12"/>
    <col min="1791" max="1791" width="14.140625" style="12" customWidth="1"/>
    <col min="1792" max="1793" width="16.5703125" style="12" customWidth="1"/>
    <col min="1794" max="1794" width="12.5703125" style="12" customWidth="1"/>
    <col min="1795" max="1795" width="6.85546875" style="12" customWidth="1"/>
    <col min="1796" max="2046" width="16.5703125" style="12"/>
    <col min="2047" max="2047" width="14.140625" style="12" customWidth="1"/>
    <col min="2048" max="2049" width="16.5703125" style="12" customWidth="1"/>
    <col min="2050" max="2050" width="12.5703125" style="12" customWidth="1"/>
    <col min="2051" max="2051" width="6.85546875" style="12" customWidth="1"/>
    <col min="2052" max="2302" width="16.5703125" style="12"/>
    <col min="2303" max="2303" width="14.140625" style="12" customWidth="1"/>
    <col min="2304" max="2305" width="16.5703125" style="12" customWidth="1"/>
    <col min="2306" max="2306" width="12.5703125" style="12" customWidth="1"/>
    <col min="2307" max="2307" width="6.85546875" style="12" customWidth="1"/>
    <col min="2308" max="2558" width="16.5703125" style="12"/>
    <col min="2559" max="2559" width="14.140625" style="12" customWidth="1"/>
    <col min="2560" max="2561" width="16.5703125" style="12" customWidth="1"/>
    <col min="2562" max="2562" width="12.5703125" style="12" customWidth="1"/>
    <col min="2563" max="2563" width="6.85546875" style="12" customWidth="1"/>
    <col min="2564" max="2814" width="16.5703125" style="12"/>
    <col min="2815" max="2815" width="14.140625" style="12" customWidth="1"/>
    <col min="2816" max="2817" width="16.5703125" style="12" customWidth="1"/>
    <col min="2818" max="2818" width="12.5703125" style="12" customWidth="1"/>
    <col min="2819" max="2819" width="6.85546875" style="12" customWidth="1"/>
    <col min="2820" max="3070" width="16.5703125" style="12"/>
    <col min="3071" max="3071" width="14.140625" style="12" customWidth="1"/>
    <col min="3072" max="3073" width="16.5703125" style="12" customWidth="1"/>
    <col min="3074" max="3074" width="12.5703125" style="12" customWidth="1"/>
    <col min="3075" max="3075" width="6.85546875" style="12" customWidth="1"/>
    <col min="3076" max="3326" width="16.5703125" style="12"/>
    <col min="3327" max="3327" width="14.140625" style="12" customWidth="1"/>
    <col min="3328" max="3329" width="16.5703125" style="12" customWidth="1"/>
    <col min="3330" max="3330" width="12.5703125" style="12" customWidth="1"/>
    <col min="3331" max="3331" width="6.85546875" style="12" customWidth="1"/>
    <col min="3332" max="3582" width="16.5703125" style="12"/>
    <col min="3583" max="3583" width="14.140625" style="12" customWidth="1"/>
    <col min="3584" max="3585" width="16.5703125" style="12" customWidth="1"/>
    <col min="3586" max="3586" width="12.5703125" style="12" customWidth="1"/>
    <col min="3587" max="3587" width="6.85546875" style="12" customWidth="1"/>
    <col min="3588" max="3838" width="16.5703125" style="12"/>
    <col min="3839" max="3839" width="14.140625" style="12" customWidth="1"/>
    <col min="3840" max="3841" width="16.5703125" style="12" customWidth="1"/>
    <col min="3842" max="3842" width="12.5703125" style="12" customWidth="1"/>
    <col min="3843" max="3843" width="6.85546875" style="12" customWidth="1"/>
    <col min="3844" max="4094" width="16.5703125" style="12"/>
    <col min="4095" max="4095" width="14.140625" style="12" customWidth="1"/>
    <col min="4096" max="4097" width="16.5703125" style="12" customWidth="1"/>
    <col min="4098" max="4098" width="12.5703125" style="12" customWidth="1"/>
    <col min="4099" max="4099" width="6.85546875" style="12" customWidth="1"/>
    <col min="4100" max="4350" width="16.5703125" style="12"/>
    <col min="4351" max="4351" width="14.140625" style="12" customWidth="1"/>
    <col min="4352" max="4353" width="16.5703125" style="12" customWidth="1"/>
    <col min="4354" max="4354" width="12.5703125" style="12" customWidth="1"/>
    <col min="4355" max="4355" width="6.85546875" style="12" customWidth="1"/>
    <col min="4356" max="4606" width="16.5703125" style="12"/>
    <col min="4607" max="4607" width="14.140625" style="12" customWidth="1"/>
    <col min="4608" max="4609" width="16.5703125" style="12" customWidth="1"/>
    <col min="4610" max="4610" width="12.5703125" style="12" customWidth="1"/>
    <col min="4611" max="4611" width="6.85546875" style="12" customWidth="1"/>
    <col min="4612" max="4862" width="16.5703125" style="12"/>
    <col min="4863" max="4863" width="14.140625" style="12" customWidth="1"/>
    <col min="4864" max="4865" width="16.5703125" style="12" customWidth="1"/>
    <col min="4866" max="4866" width="12.5703125" style="12" customWidth="1"/>
    <col min="4867" max="4867" width="6.85546875" style="12" customWidth="1"/>
    <col min="4868" max="5118" width="16.5703125" style="12"/>
    <col min="5119" max="5119" width="14.140625" style="12" customWidth="1"/>
    <col min="5120" max="5121" width="16.5703125" style="12" customWidth="1"/>
    <col min="5122" max="5122" width="12.5703125" style="12" customWidth="1"/>
    <col min="5123" max="5123" width="6.85546875" style="12" customWidth="1"/>
    <col min="5124" max="5374" width="16.5703125" style="12"/>
    <col min="5375" max="5375" width="14.140625" style="12" customWidth="1"/>
    <col min="5376" max="5377" width="16.5703125" style="12" customWidth="1"/>
    <col min="5378" max="5378" width="12.5703125" style="12" customWidth="1"/>
    <col min="5379" max="5379" width="6.85546875" style="12" customWidth="1"/>
    <col min="5380" max="5630" width="16.5703125" style="12"/>
    <col min="5631" max="5631" width="14.140625" style="12" customWidth="1"/>
    <col min="5632" max="5633" width="16.5703125" style="12" customWidth="1"/>
    <col min="5634" max="5634" width="12.5703125" style="12" customWidth="1"/>
    <col min="5635" max="5635" width="6.85546875" style="12" customWidth="1"/>
    <col min="5636" max="5886" width="16.5703125" style="12"/>
    <col min="5887" max="5887" width="14.140625" style="12" customWidth="1"/>
    <col min="5888" max="5889" width="16.5703125" style="12" customWidth="1"/>
    <col min="5890" max="5890" width="12.5703125" style="12" customWidth="1"/>
    <col min="5891" max="5891" width="6.85546875" style="12" customWidth="1"/>
    <col min="5892" max="6142" width="16.5703125" style="12"/>
    <col min="6143" max="6143" width="14.140625" style="12" customWidth="1"/>
    <col min="6144" max="6145" width="16.5703125" style="12" customWidth="1"/>
    <col min="6146" max="6146" width="12.5703125" style="12" customWidth="1"/>
    <col min="6147" max="6147" width="6.85546875" style="12" customWidth="1"/>
    <col min="6148" max="6398" width="16.5703125" style="12"/>
    <col min="6399" max="6399" width="14.140625" style="12" customWidth="1"/>
    <col min="6400" max="6401" width="16.5703125" style="12" customWidth="1"/>
    <col min="6402" max="6402" width="12.5703125" style="12" customWidth="1"/>
    <col min="6403" max="6403" width="6.85546875" style="12" customWidth="1"/>
    <col min="6404" max="6654" width="16.5703125" style="12"/>
    <col min="6655" max="6655" width="14.140625" style="12" customWidth="1"/>
    <col min="6656" max="6657" width="16.5703125" style="12" customWidth="1"/>
    <col min="6658" max="6658" width="12.5703125" style="12" customWidth="1"/>
    <col min="6659" max="6659" width="6.85546875" style="12" customWidth="1"/>
    <col min="6660" max="6910" width="16.5703125" style="12"/>
    <col min="6911" max="6911" width="14.140625" style="12" customWidth="1"/>
    <col min="6912" max="6913" width="16.5703125" style="12" customWidth="1"/>
    <col min="6914" max="6914" width="12.5703125" style="12" customWidth="1"/>
    <col min="6915" max="6915" width="6.85546875" style="12" customWidth="1"/>
    <col min="6916" max="7166" width="16.5703125" style="12"/>
    <col min="7167" max="7167" width="14.140625" style="12" customWidth="1"/>
    <col min="7168" max="7169" width="16.5703125" style="12" customWidth="1"/>
    <col min="7170" max="7170" width="12.5703125" style="12" customWidth="1"/>
    <col min="7171" max="7171" width="6.85546875" style="12" customWidth="1"/>
    <col min="7172" max="7422" width="16.5703125" style="12"/>
    <col min="7423" max="7423" width="14.140625" style="12" customWidth="1"/>
    <col min="7424" max="7425" width="16.5703125" style="12" customWidth="1"/>
    <col min="7426" max="7426" width="12.5703125" style="12" customWidth="1"/>
    <col min="7427" max="7427" width="6.85546875" style="12" customWidth="1"/>
    <col min="7428" max="7678" width="16.5703125" style="12"/>
    <col min="7679" max="7679" width="14.140625" style="12" customWidth="1"/>
    <col min="7680" max="7681" width="16.5703125" style="12" customWidth="1"/>
    <col min="7682" max="7682" width="12.5703125" style="12" customWidth="1"/>
    <col min="7683" max="7683" width="6.85546875" style="12" customWidth="1"/>
    <col min="7684" max="7934" width="16.5703125" style="12"/>
    <col min="7935" max="7935" width="14.140625" style="12" customWidth="1"/>
    <col min="7936" max="7937" width="16.5703125" style="12" customWidth="1"/>
    <col min="7938" max="7938" width="12.5703125" style="12" customWidth="1"/>
    <col min="7939" max="7939" width="6.85546875" style="12" customWidth="1"/>
    <col min="7940" max="8190" width="16.5703125" style="12"/>
    <col min="8191" max="8191" width="14.140625" style="12" customWidth="1"/>
    <col min="8192" max="8193" width="16.5703125" style="12" customWidth="1"/>
    <col min="8194" max="8194" width="12.5703125" style="12" customWidth="1"/>
    <col min="8195" max="8195" width="6.85546875" style="12" customWidth="1"/>
    <col min="8196" max="8446" width="16.5703125" style="12"/>
    <col min="8447" max="8447" width="14.140625" style="12" customWidth="1"/>
    <col min="8448" max="8449" width="16.5703125" style="12" customWidth="1"/>
    <col min="8450" max="8450" width="12.5703125" style="12" customWidth="1"/>
    <col min="8451" max="8451" width="6.85546875" style="12" customWidth="1"/>
    <col min="8452" max="8702" width="16.5703125" style="12"/>
    <col min="8703" max="8703" width="14.140625" style="12" customWidth="1"/>
    <col min="8704" max="8705" width="16.5703125" style="12" customWidth="1"/>
    <col min="8706" max="8706" width="12.5703125" style="12" customWidth="1"/>
    <col min="8707" max="8707" width="6.85546875" style="12" customWidth="1"/>
    <col min="8708" max="8958" width="16.5703125" style="12"/>
    <col min="8959" max="8959" width="14.140625" style="12" customWidth="1"/>
    <col min="8960" max="8961" width="16.5703125" style="12" customWidth="1"/>
    <col min="8962" max="8962" width="12.5703125" style="12" customWidth="1"/>
    <col min="8963" max="8963" width="6.85546875" style="12" customWidth="1"/>
    <col min="8964" max="9214" width="16.5703125" style="12"/>
    <col min="9215" max="9215" width="14.140625" style="12" customWidth="1"/>
    <col min="9216" max="9217" width="16.5703125" style="12" customWidth="1"/>
    <col min="9218" max="9218" width="12.5703125" style="12" customWidth="1"/>
    <col min="9219" max="9219" width="6.85546875" style="12" customWidth="1"/>
    <col min="9220" max="9470" width="16.5703125" style="12"/>
    <col min="9471" max="9471" width="14.140625" style="12" customWidth="1"/>
    <col min="9472" max="9473" width="16.5703125" style="12" customWidth="1"/>
    <col min="9474" max="9474" width="12.5703125" style="12" customWidth="1"/>
    <col min="9475" max="9475" width="6.85546875" style="12" customWidth="1"/>
    <col min="9476" max="9726" width="16.5703125" style="12"/>
    <col min="9727" max="9727" width="14.140625" style="12" customWidth="1"/>
    <col min="9728" max="9729" width="16.5703125" style="12" customWidth="1"/>
    <col min="9730" max="9730" width="12.5703125" style="12" customWidth="1"/>
    <col min="9731" max="9731" width="6.85546875" style="12" customWidth="1"/>
    <col min="9732" max="9982" width="16.5703125" style="12"/>
    <col min="9983" max="9983" width="14.140625" style="12" customWidth="1"/>
    <col min="9984" max="9985" width="16.5703125" style="12" customWidth="1"/>
    <col min="9986" max="9986" width="12.5703125" style="12" customWidth="1"/>
    <col min="9987" max="9987" width="6.85546875" style="12" customWidth="1"/>
    <col min="9988" max="10238" width="16.5703125" style="12"/>
    <col min="10239" max="10239" width="14.140625" style="12" customWidth="1"/>
    <col min="10240" max="10241" width="16.5703125" style="12" customWidth="1"/>
    <col min="10242" max="10242" width="12.5703125" style="12" customWidth="1"/>
    <col min="10243" max="10243" width="6.85546875" style="12" customWidth="1"/>
    <col min="10244" max="10494" width="16.5703125" style="12"/>
    <col min="10495" max="10495" width="14.140625" style="12" customWidth="1"/>
    <col min="10496" max="10497" width="16.5703125" style="12" customWidth="1"/>
    <col min="10498" max="10498" width="12.5703125" style="12" customWidth="1"/>
    <col min="10499" max="10499" width="6.85546875" style="12" customWidth="1"/>
    <col min="10500" max="10750" width="16.5703125" style="12"/>
    <col min="10751" max="10751" width="14.140625" style="12" customWidth="1"/>
    <col min="10752" max="10753" width="16.5703125" style="12" customWidth="1"/>
    <col min="10754" max="10754" width="12.5703125" style="12" customWidth="1"/>
    <col min="10755" max="10755" width="6.85546875" style="12" customWidth="1"/>
    <col min="10756" max="11006" width="16.5703125" style="12"/>
    <col min="11007" max="11007" width="14.140625" style="12" customWidth="1"/>
    <col min="11008" max="11009" width="16.5703125" style="12" customWidth="1"/>
    <col min="11010" max="11010" width="12.5703125" style="12" customWidth="1"/>
    <col min="11011" max="11011" width="6.85546875" style="12" customWidth="1"/>
    <col min="11012" max="11262" width="16.5703125" style="12"/>
    <col min="11263" max="11263" width="14.140625" style="12" customWidth="1"/>
    <col min="11264" max="11265" width="16.5703125" style="12" customWidth="1"/>
    <col min="11266" max="11266" width="12.5703125" style="12" customWidth="1"/>
    <col min="11267" max="11267" width="6.85546875" style="12" customWidth="1"/>
    <col min="11268" max="11518" width="16.5703125" style="12"/>
    <col min="11519" max="11519" width="14.140625" style="12" customWidth="1"/>
    <col min="11520" max="11521" width="16.5703125" style="12" customWidth="1"/>
    <col min="11522" max="11522" width="12.5703125" style="12" customWidth="1"/>
    <col min="11523" max="11523" width="6.85546875" style="12" customWidth="1"/>
    <col min="11524" max="11774" width="16.5703125" style="12"/>
    <col min="11775" max="11775" width="14.140625" style="12" customWidth="1"/>
    <col min="11776" max="11777" width="16.5703125" style="12" customWidth="1"/>
    <col min="11778" max="11778" width="12.5703125" style="12" customWidth="1"/>
    <col min="11779" max="11779" width="6.85546875" style="12" customWidth="1"/>
    <col min="11780" max="12030" width="16.5703125" style="12"/>
    <col min="12031" max="12031" width="14.140625" style="12" customWidth="1"/>
    <col min="12032" max="12033" width="16.5703125" style="12" customWidth="1"/>
    <col min="12034" max="12034" width="12.5703125" style="12" customWidth="1"/>
    <col min="12035" max="12035" width="6.85546875" style="12" customWidth="1"/>
    <col min="12036" max="12286" width="16.5703125" style="12"/>
    <col min="12287" max="12287" width="14.140625" style="12" customWidth="1"/>
    <col min="12288" max="12289" width="16.5703125" style="12" customWidth="1"/>
    <col min="12290" max="12290" width="12.5703125" style="12" customWidth="1"/>
    <col min="12291" max="12291" width="6.85546875" style="12" customWidth="1"/>
    <col min="12292" max="12542" width="16.5703125" style="12"/>
    <col min="12543" max="12543" width="14.140625" style="12" customWidth="1"/>
    <col min="12544" max="12545" width="16.5703125" style="12" customWidth="1"/>
    <col min="12546" max="12546" width="12.5703125" style="12" customWidth="1"/>
    <col min="12547" max="12547" width="6.85546875" style="12" customWidth="1"/>
    <col min="12548" max="12798" width="16.5703125" style="12"/>
    <col min="12799" max="12799" width="14.140625" style="12" customWidth="1"/>
    <col min="12800" max="12801" width="16.5703125" style="12" customWidth="1"/>
    <col min="12802" max="12802" width="12.5703125" style="12" customWidth="1"/>
    <col min="12803" max="12803" width="6.85546875" style="12" customWidth="1"/>
    <col min="12804" max="13054" width="16.5703125" style="12"/>
    <col min="13055" max="13055" width="14.140625" style="12" customWidth="1"/>
    <col min="13056" max="13057" width="16.5703125" style="12" customWidth="1"/>
    <col min="13058" max="13058" width="12.5703125" style="12" customWidth="1"/>
    <col min="13059" max="13059" width="6.85546875" style="12" customWidth="1"/>
    <col min="13060" max="13310" width="16.5703125" style="12"/>
    <col min="13311" max="13311" width="14.140625" style="12" customWidth="1"/>
    <col min="13312" max="13313" width="16.5703125" style="12" customWidth="1"/>
    <col min="13314" max="13314" width="12.5703125" style="12" customWidth="1"/>
    <col min="13315" max="13315" width="6.85546875" style="12" customWidth="1"/>
    <col min="13316" max="13566" width="16.5703125" style="12"/>
    <col min="13567" max="13567" width="14.140625" style="12" customWidth="1"/>
    <col min="13568" max="13569" width="16.5703125" style="12" customWidth="1"/>
    <col min="13570" max="13570" width="12.5703125" style="12" customWidth="1"/>
    <col min="13571" max="13571" width="6.85546875" style="12" customWidth="1"/>
    <col min="13572" max="13822" width="16.5703125" style="12"/>
    <col min="13823" max="13823" width="14.140625" style="12" customWidth="1"/>
    <col min="13824" max="13825" width="16.5703125" style="12" customWidth="1"/>
    <col min="13826" max="13826" width="12.5703125" style="12" customWidth="1"/>
    <col min="13827" max="13827" width="6.85546875" style="12" customWidth="1"/>
    <col min="13828" max="14078" width="16.5703125" style="12"/>
    <col min="14079" max="14079" width="14.140625" style="12" customWidth="1"/>
    <col min="14080" max="14081" width="16.5703125" style="12" customWidth="1"/>
    <col min="14082" max="14082" width="12.5703125" style="12" customWidth="1"/>
    <col min="14083" max="14083" width="6.85546875" style="12" customWidth="1"/>
    <col min="14084" max="14334" width="16.5703125" style="12"/>
    <col min="14335" max="14335" width="14.140625" style="12" customWidth="1"/>
    <col min="14336" max="14337" width="16.5703125" style="12" customWidth="1"/>
    <col min="14338" max="14338" width="12.5703125" style="12" customWidth="1"/>
    <col min="14339" max="14339" width="6.85546875" style="12" customWidth="1"/>
    <col min="14340" max="14590" width="16.5703125" style="12"/>
    <col min="14591" max="14591" width="14.140625" style="12" customWidth="1"/>
    <col min="14592" max="14593" width="16.5703125" style="12" customWidth="1"/>
    <col min="14594" max="14594" width="12.5703125" style="12" customWidth="1"/>
    <col min="14595" max="14595" width="6.85546875" style="12" customWidth="1"/>
    <col min="14596" max="14846" width="16.5703125" style="12"/>
    <col min="14847" max="14847" width="14.140625" style="12" customWidth="1"/>
    <col min="14848" max="14849" width="16.5703125" style="12" customWidth="1"/>
    <col min="14850" max="14850" width="12.5703125" style="12" customWidth="1"/>
    <col min="14851" max="14851" width="6.85546875" style="12" customWidth="1"/>
    <col min="14852" max="15102" width="16.5703125" style="12"/>
    <col min="15103" max="15103" width="14.140625" style="12" customWidth="1"/>
    <col min="15104" max="15105" width="16.5703125" style="12" customWidth="1"/>
    <col min="15106" max="15106" width="12.5703125" style="12" customWidth="1"/>
    <col min="15107" max="15107" width="6.85546875" style="12" customWidth="1"/>
    <col min="15108" max="15358" width="16.5703125" style="12"/>
    <col min="15359" max="15359" width="14.140625" style="12" customWidth="1"/>
    <col min="15360" max="15361" width="16.5703125" style="12" customWidth="1"/>
    <col min="15362" max="15362" width="12.5703125" style="12" customWidth="1"/>
    <col min="15363" max="15363" width="6.85546875" style="12" customWidth="1"/>
    <col min="15364" max="15614" width="16.5703125" style="12"/>
    <col min="15615" max="15615" width="14.140625" style="12" customWidth="1"/>
    <col min="15616" max="15617" width="16.5703125" style="12" customWidth="1"/>
    <col min="15618" max="15618" width="12.5703125" style="12" customWidth="1"/>
    <col min="15619" max="15619" width="6.85546875" style="12" customWidth="1"/>
    <col min="15620" max="15870" width="16.5703125" style="12"/>
    <col min="15871" max="15871" width="14.140625" style="12" customWidth="1"/>
    <col min="15872" max="15873" width="16.5703125" style="12" customWidth="1"/>
    <col min="15874" max="15874" width="12.5703125" style="12" customWidth="1"/>
    <col min="15875" max="15875" width="6.85546875" style="12" customWidth="1"/>
    <col min="15876" max="16126" width="16.5703125" style="12"/>
    <col min="16127" max="16127" width="14.140625" style="12" customWidth="1"/>
    <col min="16128" max="16129" width="16.5703125" style="12" customWidth="1"/>
    <col min="16130" max="16130" width="12.5703125" style="12" customWidth="1"/>
    <col min="16131" max="16131" width="6.85546875" style="12" customWidth="1"/>
    <col min="16132" max="16384" width="16.5703125" style="12"/>
  </cols>
  <sheetData>
    <row r="1" spans="1:27">
      <c r="B1" s="15">
        <v>402.74</v>
      </c>
      <c r="V1" s="16"/>
    </row>
    <row r="2" spans="1:27">
      <c r="B2" s="15">
        <v>402.74</v>
      </c>
      <c r="D2" s="17" t="s">
        <v>62</v>
      </c>
      <c r="E2" s="17"/>
      <c r="F2" s="17"/>
    </row>
    <row r="3" spans="1:27" ht="15">
      <c r="B3" s="15"/>
      <c r="C3" s="174"/>
      <c r="D3" s="174"/>
      <c r="E3" s="174"/>
      <c r="F3" s="174"/>
    </row>
    <row r="4" spans="1:27">
      <c r="B4" s="15">
        <v>402.74</v>
      </c>
      <c r="D4" s="189"/>
      <c r="E4" s="189"/>
      <c r="F4" s="189"/>
      <c r="P4" s="69" t="s">
        <v>9</v>
      </c>
      <c r="Y4" s="190"/>
      <c r="Z4" s="190"/>
    </row>
    <row r="5" spans="1:27" ht="12.75" customHeight="1">
      <c r="A5" s="192" t="s">
        <v>0</v>
      </c>
      <c r="B5" s="192" t="s">
        <v>63</v>
      </c>
      <c r="C5" s="193" t="s">
        <v>1</v>
      </c>
      <c r="D5" s="194"/>
      <c r="E5" s="195"/>
      <c r="F5" s="180" t="s">
        <v>76</v>
      </c>
      <c r="G5" s="187" t="s">
        <v>132</v>
      </c>
      <c r="H5" s="187"/>
      <c r="I5" s="187"/>
      <c r="J5" s="187" t="s">
        <v>133</v>
      </c>
      <c r="K5" s="187"/>
      <c r="L5" s="187"/>
      <c r="M5" s="187" t="s">
        <v>134</v>
      </c>
      <c r="N5" s="187"/>
      <c r="O5" s="187"/>
      <c r="P5" s="191" t="s">
        <v>104</v>
      </c>
      <c r="Q5" s="87"/>
      <c r="R5" s="18"/>
      <c r="S5" s="18"/>
      <c r="T5" s="18"/>
      <c r="U5" s="18"/>
      <c r="V5" s="18"/>
      <c r="W5" s="18"/>
      <c r="X5" s="18"/>
      <c r="Y5" s="18"/>
      <c r="Z5" s="18"/>
    </row>
    <row r="6" spans="1:27">
      <c r="A6" s="192"/>
      <c r="B6" s="192"/>
      <c r="C6" s="196"/>
      <c r="D6" s="197"/>
      <c r="E6" s="198"/>
      <c r="F6" s="181"/>
      <c r="G6" s="187"/>
      <c r="H6" s="187"/>
      <c r="I6" s="187"/>
      <c r="J6" s="187"/>
      <c r="K6" s="187"/>
      <c r="L6" s="187"/>
      <c r="M6" s="187"/>
      <c r="N6" s="187"/>
      <c r="O6" s="187"/>
      <c r="P6" s="191"/>
      <c r="Q6" s="87"/>
      <c r="R6" s="18"/>
      <c r="S6" s="18"/>
      <c r="T6" s="18"/>
      <c r="U6" s="18"/>
      <c r="V6" s="18"/>
      <c r="W6" s="18"/>
      <c r="X6" s="18"/>
      <c r="Y6" s="18"/>
      <c r="Z6" s="18"/>
    </row>
    <row r="7" spans="1:27">
      <c r="A7" s="192"/>
      <c r="B7" s="192"/>
      <c r="C7" s="192" t="s">
        <v>64</v>
      </c>
      <c r="D7" s="180" t="s">
        <v>3</v>
      </c>
      <c r="E7" s="180" t="s">
        <v>65</v>
      </c>
      <c r="F7" s="181"/>
      <c r="G7" s="187" t="s">
        <v>5</v>
      </c>
      <c r="H7" s="187" t="s">
        <v>11</v>
      </c>
      <c r="I7" s="187"/>
      <c r="J7" s="187" t="s">
        <v>5</v>
      </c>
      <c r="K7" s="187" t="s">
        <v>11</v>
      </c>
      <c r="L7" s="187"/>
      <c r="M7" s="187" t="s">
        <v>5</v>
      </c>
      <c r="N7" s="187" t="s">
        <v>11</v>
      </c>
      <c r="O7" s="187"/>
      <c r="P7" s="191"/>
      <c r="Q7" s="87"/>
      <c r="R7" s="18"/>
      <c r="S7" s="18"/>
      <c r="T7" s="18"/>
      <c r="U7" s="18"/>
      <c r="V7" s="18"/>
      <c r="W7" s="18"/>
      <c r="X7" s="18"/>
      <c r="Y7" s="18"/>
      <c r="Z7" s="18"/>
    </row>
    <row r="8" spans="1:27" ht="38.25" customHeight="1">
      <c r="A8" s="192"/>
      <c r="B8" s="192"/>
      <c r="C8" s="192"/>
      <c r="D8" s="182"/>
      <c r="E8" s="182"/>
      <c r="F8" s="182"/>
      <c r="G8" s="187"/>
      <c r="H8" s="97" t="s">
        <v>6</v>
      </c>
      <c r="I8" s="97" t="s">
        <v>7</v>
      </c>
      <c r="J8" s="187"/>
      <c r="K8" s="125" t="s">
        <v>6</v>
      </c>
      <c r="L8" s="125" t="s">
        <v>7</v>
      </c>
      <c r="M8" s="187"/>
      <c r="N8" s="133" t="s">
        <v>6</v>
      </c>
      <c r="O8" s="133" t="s">
        <v>7</v>
      </c>
      <c r="P8" s="191"/>
      <c r="Q8" s="88"/>
      <c r="R8" s="19"/>
      <c r="S8" s="19"/>
      <c r="T8" s="18"/>
      <c r="U8" s="19"/>
      <c r="V8" s="19"/>
      <c r="W8" s="18"/>
      <c r="X8" s="18"/>
      <c r="Y8" s="18"/>
      <c r="Z8" s="18"/>
    </row>
    <row r="9" spans="1:27" ht="15" customHeight="1">
      <c r="A9" s="260">
        <v>1</v>
      </c>
      <c r="B9" s="261" t="s">
        <v>66</v>
      </c>
      <c r="C9" s="293" t="s">
        <v>73</v>
      </c>
      <c r="D9" s="300">
        <v>2</v>
      </c>
      <c r="E9" s="301"/>
      <c r="F9" s="296">
        <f>[1]МКД!$H$226</f>
        <v>68</v>
      </c>
      <c r="G9" s="231">
        <f>H9+I9</f>
        <v>1989.2599999999998</v>
      </c>
      <c r="H9" s="229">
        <v>692.65</v>
      </c>
      <c r="I9" s="229">
        <v>1296.6099999999999</v>
      </c>
      <c r="J9" s="231">
        <f>K9+L9</f>
        <v>2099.1</v>
      </c>
      <c r="K9" s="229">
        <v>727.82</v>
      </c>
      <c r="L9" s="229">
        <v>1371.28</v>
      </c>
      <c r="M9" s="231">
        <f>N9+O9</f>
        <v>2183.67</v>
      </c>
      <c r="N9" s="229">
        <v>744.62</v>
      </c>
      <c r="O9" s="229">
        <v>1439.05</v>
      </c>
      <c r="P9" s="251">
        <f>M9/F9</f>
        <v>32.112794117647063</v>
      </c>
      <c r="Q9" s="23"/>
      <c r="R9" s="20"/>
      <c r="S9" s="20"/>
      <c r="T9" s="21"/>
      <c r="U9" s="21"/>
      <c r="V9" s="22"/>
      <c r="W9" s="21"/>
      <c r="X9" s="21"/>
      <c r="Y9" s="21"/>
      <c r="Z9" s="21"/>
      <c r="AA9" s="16"/>
    </row>
    <row r="10" spans="1:27" ht="15" customHeight="1">
      <c r="A10" s="260">
        <f>A9+1</f>
        <v>2</v>
      </c>
      <c r="B10" s="261" t="s">
        <v>66</v>
      </c>
      <c r="C10" s="297" t="s">
        <v>51</v>
      </c>
      <c r="D10" s="298">
        <v>18</v>
      </c>
      <c r="E10" s="299"/>
      <c r="F10" s="276">
        <f>[1]МКД!$H$219</f>
        <v>16</v>
      </c>
      <c r="G10" s="231">
        <f>H10+I10</f>
        <v>462.58</v>
      </c>
      <c r="H10" s="229">
        <v>119.94</v>
      </c>
      <c r="I10" s="229">
        <v>342.64</v>
      </c>
      <c r="J10" s="231">
        <f>K10+L10</f>
        <v>491.13</v>
      </c>
      <c r="K10" s="229">
        <v>129.66999999999999</v>
      </c>
      <c r="L10" s="229">
        <v>361.46</v>
      </c>
      <c r="M10" s="231">
        <f>N10+O10</f>
        <v>500.72</v>
      </c>
      <c r="N10" s="229">
        <v>136.75</v>
      </c>
      <c r="O10" s="229">
        <v>363.97</v>
      </c>
      <c r="P10" s="286">
        <f>M10/F10</f>
        <v>31.295000000000002</v>
      </c>
      <c r="Q10" s="23"/>
      <c r="R10" s="20"/>
      <c r="S10" s="20"/>
      <c r="T10" s="20"/>
      <c r="U10" s="21"/>
      <c r="V10" s="21"/>
      <c r="W10" s="21"/>
      <c r="X10" s="21"/>
      <c r="Y10" s="21"/>
      <c r="Z10" s="21"/>
    </row>
    <row r="11" spans="1:27" ht="15" customHeight="1">
      <c r="A11" s="260">
        <f t="shared" ref="A11:A39" si="0">A10+1</f>
        <v>3</v>
      </c>
      <c r="B11" s="261" t="s">
        <v>66</v>
      </c>
      <c r="C11" s="262" t="s">
        <v>55</v>
      </c>
      <c r="D11" s="263">
        <v>2</v>
      </c>
      <c r="E11" s="264"/>
      <c r="F11" s="265">
        <f>[1]МКД!$H$191</f>
        <v>16</v>
      </c>
      <c r="G11" s="231">
        <f>H11+I11</f>
        <v>432.46000000000004</v>
      </c>
      <c r="H11" s="229">
        <v>146.72</v>
      </c>
      <c r="I11" s="229">
        <v>285.74</v>
      </c>
      <c r="J11" s="231">
        <f>K11+L11</f>
        <v>465.74</v>
      </c>
      <c r="K11" s="229">
        <v>149.69</v>
      </c>
      <c r="L11" s="229">
        <v>316.05</v>
      </c>
      <c r="M11" s="231">
        <f>N11+O11</f>
        <v>455.46000000000004</v>
      </c>
      <c r="N11" s="229">
        <v>148.72</v>
      </c>
      <c r="O11" s="229">
        <v>306.74</v>
      </c>
      <c r="P11" s="286">
        <f>M11/F11</f>
        <v>28.466250000000002</v>
      </c>
      <c r="Q11" s="23"/>
      <c r="R11" s="20"/>
      <c r="S11" s="20"/>
      <c r="T11" s="20"/>
      <c r="U11" s="21"/>
      <c r="V11" s="22"/>
      <c r="W11" s="21"/>
      <c r="X11" s="21"/>
      <c r="Y11" s="21"/>
      <c r="Z11" s="21"/>
    </row>
    <row r="12" spans="1:27" ht="15" customHeight="1">
      <c r="A12" s="260">
        <f t="shared" si="0"/>
        <v>4</v>
      </c>
      <c r="B12" s="261" t="s">
        <v>66</v>
      </c>
      <c r="C12" s="262" t="s">
        <v>55</v>
      </c>
      <c r="D12" s="263">
        <v>4</v>
      </c>
      <c r="E12" s="264"/>
      <c r="F12" s="265">
        <f>[1]МКД!$H$194</f>
        <v>16</v>
      </c>
      <c r="G12" s="231">
        <f>H12+I12</f>
        <v>354.61</v>
      </c>
      <c r="H12" s="229">
        <v>116.27</v>
      </c>
      <c r="I12" s="229">
        <v>238.34</v>
      </c>
      <c r="J12" s="231">
        <f>K12+L12</f>
        <v>435.51</v>
      </c>
      <c r="K12" s="229">
        <v>116.34</v>
      </c>
      <c r="L12" s="229">
        <v>319.17</v>
      </c>
      <c r="M12" s="231">
        <f>N12+O12</f>
        <v>453.81</v>
      </c>
      <c r="N12" s="229">
        <v>126.61</v>
      </c>
      <c r="O12" s="229">
        <v>327.2</v>
      </c>
      <c r="P12" s="286">
        <f>M12/F12</f>
        <v>28.363125</v>
      </c>
      <c r="Q12" s="23"/>
      <c r="R12" s="20"/>
      <c r="S12" s="20"/>
      <c r="T12" s="23"/>
      <c r="U12" s="21"/>
      <c r="V12" s="21"/>
      <c r="W12" s="21"/>
      <c r="X12" s="21"/>
      <c r="Y12" s="21"/>
      <c r="Z12" s="21"/>
    </row>
    <row r="13" spans="1:27" ht="15" customHeight="1">
      <c r="A13" s="260">
        <f t="shared" si="0"/>
        <v>5</v>
      </c>
      <c r="B13" s="261" t="s">
        <v>66</v>
      </c>
      <c r="C13" s="269" t="s">
        <v>33</v>
      </c>
      <c r="D13" s="273">
        <v>35</v>
      </c>
      <c r="E13" s="271"/>
      <c r="F13" s="265">
        <f>[1]МКД!$H$204</f>
        <v>60</v>
      </c>
      <c r="G13" s="231">
        <f>H13+I13</f>
        <v>1482.32</v>
      </c>
      <c r="H13" s="229">
        <v>551.26</v>
      </c>
      <c r="I13" s="229">
        <v>931.06</v>
      </c>
      <c r="J13" s="231">
        <f>K13+L13</f>
        <v>1678.59</v>
      </c>
      <c r="K13" s="229">
        <v>599.29</v>
      </c>
      <c r="L13" s="229">
        <v>1079.3</v>
      </c>
      <c r="M13" s="231">
        <f>N13+O13</f>
        <v>1674.57</v>
      </c>
      <c r="N13" s="229">
        <v>584.21</v>
      </c>
      <c r="O13" s="229">
        <v>1090.3599999999999</v>
      </c>
      <c r="P13" s="286">
        <f>M13/F13</f>
        <v>27.909499999999998</v>
      </c>
      <c r="Q13" s="24"/>
      <c r="R13" s="25"/>
      <c r="S13" s="26"/>
      <c r="T13" s="26"/>
      <c r="U13" s="27"/>
      <c r="V13" s="27"/>
      <c r="W13" s="27"/>
      <c r="X13" s="28"/>
      <c r="Y13" s="28"/>
      <c r="Z13" s="28"/>
    </row>
    <row r="14" spans="1:27" ht="15" customHeight="1">
      <c r="A14" s="260">
        <f t="shared" si="0"/>
        <v>6</v>
      </c>
      <c r="B14" s="261" t="s">
        <v>66</v>
      </c>
      <c r="C14" s="269" t="s">
        <v>33</v>
      </c>
      <c r="D14" s="273">
        <v>37</v>
      </c>
      <c r="E14" s="275"/>
      <c r="F14" s="276">
        <f>[1]МКД!$H$205</f>
        <v>60</v>
      </c>
      <c r="G14" s="231">
        <f>H14+I14</f>
        <v>1285.1599999999999</v>
      </c>
      <c r="H14" s="229">
        <v>318.01</v>
      </c>
      <c r="I14" s="229">
        <v>967.15</v>
      </c>
      <c r="J14" s="231">
        <f>K14+L14</f>
        <v>1490.98</v>
      </c>
      <c r="K14" s="229">
        <v>369.04</v>
      </c>
      <c r="L14" s="229">
        <v>1121.94</v>
      </c>
      <c r="M14" s="231">
        <f>N14+O14</f>
        <v>1522.0300000000002</v>
      </c>
      <c r="N14" s="229">
        <v>419.12</v>
      </c>
      <c r="O14" s="229">
        <v>1102.9100000000001</v>
      </c>
      <c r="P14" s="286">
        <f>M14/F14</f>
        <v>25.36716666666667</v>
      </c>
      <c r="Q14" s="85"/>
      <c r="R14" s="29"/>
      <c r="S14" s="29"/>
      <c r="T14" s="29"/>
      <c r="U14" s="27"/>
      <c r="V14" s="27"/>
      <c r="W14" s="27"/>
      <c r="X14" s="28"/>
      <c r="Y14" s="28"/>
      <c r="Z14" s="21"/>
    </row>
    <row r="15" spans="1:27" ht="15" customHeight="1">
      <c r="A15" s="260">
        <f t="shared" si="0"/>
        <v>7</v>
      </c>
      <c r="B15" s="261" t="s">
        <v>66</v>
      </c>
      <c r="C15" s="269" t="s">
        <v>33</v>
      </c>
      <c r="D15" s="263">
        <v>27</v>
      </c>
      <c r="E15" s="271"/>
      <c r="F15" s="272">
        <f>[1]МКД!$H$199</f>
        <v>80</v>
      </c>
      <c r="G15" s="231">
        <f>H15+I15</f>
        <v>1715.9099999999999</v>
      </c>
      <c r="H15" s="268">
        <v>351.34</v>
      </c>
      <c r="I15" s="268">
        <v>1364.57</v>
      </c>
      <c r="J15" s="231">
        <f>K15+L15</f>
        <v>1911.77</v>
      </c>
      <c r="K15" s="268">
        <v>354.6</v>
      </c>
      <c r="L15" s="229">
        <v>1557.17</v>
      </c>
      <c r="M15" s="231">
        <f>N15+O15</f>
        <v>1938.54</v>
      </c>
      <c r="N15" s="268">
        <v>380.05</v>
      </c>
      <c r="O15" s="229">
        <v>1558.49</v>
      </c>
      <c r="P15" s="286">
        <f>M15/F15</f>
        <v>24.231749999999998</v>
      </c>
      <c r="Q15" s="85"/>
      <c r="R15" s="29"/>
      <c r="S15" s="29"/>
      <c r="T15" s="29"/>
      <c r="U15" s="27"/>
      <c r="V15" s="27"/>
      <c r="W15" s="27"/>
      <c r="X15" s="28"/>
      <c r="Y15" s="28"/>
      <c r="Z15" s="21"/>
    </row>
    <row r="16" spans="1:27" ht="15" customHeight="1">
      <c r="A16" s="260">
        <f t="shared" si="0"/>
        <v>8</v>
      </c>
      <c r="B16" s="261" t="s">
        <v>66</v>
      </c>
      <c r="C16" s="269" t="s">
        <v>33</v>
      </c>
      <c r="D16" s="263">
        <v>27</v>
      </c>
      <c r="E16" s="263" t="s">
        <v>18</v>
      </c>
      <c r="F16" s="265">
        <f>[1]МКД!$H$201</f>
        <v>56</v>
      </c>
      <c r="G16" s="231">
        <f>H16+I16</f>
        <v>1108.2</v>
      </c>
      <c r="H16" s="229">
        <v>228.27</v>
      </c>
      <c r="I16" s="229">
        <v>879.93</v>
      </c>
      <c r="J16" s="231">
        <f>K16+L16</f>
        <v>1220.6199999999999</v>
      </c>
      <c r="K16" s="229">
        <v>263.2</v>
      </c>
      <c r="L16" s="229">
        <v>957.42</v>
      </c>
      <c r="M16" s="231">
        <f>N16+O16</f>
        <v>1158.6599999999999</v>
      </c>
      <c r="N16" s="229">
        <v>248.48</v>
      </c>
      <c r="O16" s="229">
        <v>910.18</v>
      </c>
      <c r="P16" s="286">
        <f>M16/F16</f>
        <v>20.690357142857142</v>
      </c>
      <c r="Q16" s="32"/>
      <c r="R16" s="32"/>
      <c r="S16" s="32"/>
      <c r="T16" s="32"/>
      <c r="U16" s="33"/>
      <c r="V16" s="31"/>
      <c r="W16" s="31"/>
      <c r="X16" s="31"/>
      <c r="Y16" s="31"/>
      <c r="Z16" s="31"/>
    </row>
    <row r="17" spans="1:26" ht="15" customHeight="1">
      <c r="A17" s="260">
        <f t="shared" si="0"/>
        <v>9</v>
      </c>
      <c r="B17" s="261" t="s">
        <v>66</v>
      </c>
      <c r="C17" s="262" t="s">
        <v>51</v>
      </c>
      <c r="D17" s="263">
        <v>16</v>
      </c>
      <c r="E17" s="264"/>
      <c r="F17" s="276">
        <f>[1]МКД!$H$218</f>
        <v>8</v>
      </c>
      <c r="G17" s="231">
        <f>H17+I17</f>
        <v>140.05000000000001</v>
      </c>
      <c r="H17" s="229">
        <v>42.28</v>
      </c>
      <c r="I17" s="229">
        <v>97.77</v>
      </c>
      <c r="J17" s="231">
        <f>K17+L17</f>
        <v>162.22</v>
      </c>
      <c r="K17" s="229">
        <v>45.72</v>
      </c>
      <c r="L17" s="229">
        <v>116.5</v>
      </c>
      <c r="M17" s="231">
        <f>N17+O17</f>
        <v>165.37</v>
      </c>
      <c r="N17" s="229">
        <v>43.36</v>
      </c>
      <c r="O17" s="229">
        <v>122.01</v>
      </c>
      <c r="P17" s="286">
        <f>M17/F17</f>
        <v>20.671250000000001</v>
      </c>
      <c r="Q17" s="16"/>
    </row>
    <row r="18" spans="1:26" ht="15" customHeight="1">
      <c r="A18" s="260">
        <f t="shared" si="0"/>
        <v>10</v>
      </c>
      <c r="B18" s="261" t="s">
        <v>66</v>
      </c>
      <c r="C18" s="262" t="s">
        <v>16</v>
      </c>
      <c r="D18" s="263">
        <v>27</v>
      </c>
      <c r="E18" s="271" t="s">
        <v>17</v>
      </c>
      <c r="F18" s="265">
        <f>[1]МКД!$H$200</f>
        <v>60</v>
      </c>
      <c r="G18" s="231">
        <f>H18+I18</f>
        <v>1110.22</v>
      </c>
      <c r="H18" s="229">
        <v>292.91000000000003</v>
      </c>
      <c r="I18" s="229">
        <v>817.31</v>
      </c>
      <c r="J18" s="231">
        <f>K18+L18</f>
        <v>1219.51</v>
      </c>
      <c r="K18" s="229">
        <v>316.2</v>
      </c>
      <c r="L18" s="229">
        <v>903.31</v>
      </c>
      <c r="M18" s="231">
        <f>N18+O18</f>
        <v>1238.1799999999998</v>
      </c>
      <c r="N18" s="229">
        <v>349.02</v>
      </c>
      <c r="O18" s="229">
        <v>889.16</v>
      </c>
      <c r="P18" s="286">
        <f>M18/F18</f>
        <v>20.636333333333329</v>
      </c>
      <c r="Q18" s="16"/>
    </row>
    <row r="19" spans="1:26" ht="15" customHeight="1">
      <c r="A19" s="260">
        <f t="shared" si="0"/>
        <v>11</v>
      </c>
      <c r="B19" s="261" t="s">
        <v>66</v>
      </c>
      <c r="C19" s="262" t="s">
        <v>16</v>
      </c>
      <c r="D19" s="263">
        <v>46</v>
      </c>
      <c r="E19" s="274"/>
      <c r="F19" s="276">
        <f>[1]МКД!$H$208</f>
        <v>26</v>
      </c>
      <c r="G19" s="231">
        <f>H19+I19</f>
        <v>497.53</v>
      </c>
      <c r="H19" s="229">
        <v>223.72</v>
      </c>
      <c r="I19" s="229">
        <v>273.81</v>
      </c>
      <c r="J19" s="231">
        <f>K19+L19</f>
        <v>531.39</v>
      </c>
      <c r="K19" s="229">
        <v>242.51</v>
      </c>
      <c r="L19" s="229">
        <v>288.88</v>
      </c>
      <c r="M19" s="231">
        <f>N19+O19</f>
        <v>519.36</v>
      </c>
      <c r="N19" s="229">
        <v>238.36</v>
      </c>
      <c r="O19" s="229">
        <v>281</v>
      </c>
      <c r="P19" s="286">
        <f>M19/F19</f>
        <v>19.975384615384616</v>
      </c>
      <c r="Q19" s="16"/>
    </row>
    <row r="20" spans="1:26" ht="15" customHeight="1">
      <c r="A20" s="260">
        <f t="shared" si="0"/>
        <v>12</v>
      </c>
      <c r="B20" s="261" t="s">
        <v>66</v>
      </c>
      <c r="C20" s="262" t="s">
        <v>16</v>
      </c>
      <c r="D20" s="263">
        <v>41</v>
      </c>
      <c r="E20" s="263" t="s">
        <v>18</v>
      </c>
      <c r="F20" s="276">
        <f>[1]МКД!$H$207</f>
        <v>68</v>
      </c>
      <c r="G20" s="231">
        <f>H20+I20</f>
        <v>1097.3399999999999</v>
      </c>
      <c r="H20" s="229">
        <v>220.05</v>
      </c>
      <c r="I20" s="229">
        <v>877.29</v>
      </c>
      <c r="J20" s="231">
        <f>K20+L20</f>
        <v>1278.94</v>
      </c>
      <c r="K20" s="229">
        <v>246.27</v>
      </c>
      <c r="L20" s="229">
        <v>1032.67</v>
      </c>
      <c r="M20" s="231">
        <f>N20+O20</f>
        <v>1295.95</v>
      </c>
      <c r="N20" s="229">
        <v>278.58999999999997</v>
      </c>
      <c r="O20" s="229">
        <v>1017.36</v>
      </c>
      <c r="P20" s="286">
        <f>M20/F20</f>
        <v>19.058088235294118</v>
      </c>
      <c r="Q20" s="16"/>
    </row>
    <row r="21" spans="1:26" ht="15" customHeight="1">
      <c r="A21" s="260">
        <f t="shared" si="0"/>
        <v>13</v>
      </c>
      <c r="B21" s="261" t="s">
        <v>66</v>
      </c>
      <c r="C21" s="269" t="s">
        <v>69</v>
      </c>
      <c r="D21" s="277">
        <v>10</v>
      </c>
      <c r="E21" s="277" t="s">
        <v>17</v>
      </c>
      <c r="F21" s="278">
        <f>[1]МКД!$H$213</f>
        <v>30</v>
      </c>
      <c r="G21" s="231">
        <f>H21+I21</f>
        <v>525.95000000000005</v>
      </c>
      <c r="H21" s="229">
        <v>301.97000000000003</v>
      </c>
      <c r="I21" s="229">
        <v>223.98</v>
      </c>
      <c r="J21" s="231">
        <f>K21+L21</f>
        <v>564.79999999999995</v>
      </c>
      <c r="K21" s="229">
        <v>319.51</v>
      </c>
      <c r="L21" s="229">
        <v>245.29</v>
      </c>
      <c r="M21" s="231">
        <f>N21+O21</f>
        <v>564.80999999999995</v>
      </c>
      <c r="N21" s="229">
        <v>338.38</v>
      </c>
      <c r="O21" s="229">
        <v>226.43</v>
      </c>
      <c r="P21" s="286">
        <f>M21/F21</f>
        <v>18.826999999999998</v>
      </c>
      <c r="Q21" s="16"/>
    </row>
    <row r="22" spans="1:26" ht="15" customHeight="1">
      <c r="A22" s="260">
        <f t="shared" si="0"/>
        <v>14</v>
      </c>
      <c r="B22" s="261" t="s">
        <v>66</v>
      </c>
      <c r="C22" s="262" t="s">
        <v>55</v>
      </c>
      <c r="D22" s="263">
        <v>8</v>
      </c>
      <c r="E22" s="264"/>
      <c r="F22" s="265">
        <f>[1]МКД!$H$264</f>
        <v>15</v>
      </c>
      <c r="G22" s="231">
        <f>H22+I22</f>
        <v>190.59</v>
      </c>
      <c r="H22" s="229">
        <v>73.33</v>
      </c>
      <c r="I22" s="229">
        <v>117.26</v>
      </c>
      <c r="J22" s="231">
        <f>K22+L22</f>
        <v>228.39999999999998</v>
      </c>
      <c r="K22" s="229">
        <v>80.89</v>
      </c>
      <c r="L22" s="229">
        <v>147.51</v>
      </c>
      <c r="M22" s="231">
        <f>N22+O22</f>
        <v>265.37</v>
      </c>
      <c r="N22" s="229">
        <v>96.16</v>
      </c>
      <c r="O22" s="229">
        <v>169.21</v>
      </c>
      <c r="P22" s="286">
        <f>M22/F22</f>
        <v>17.691333333333333</v>
      </c>
      <c r="Q22" s="16"/>
    </row>
    <row r="23" spans="1:26" ht="15" customHeight="1">
      <c r="A23" s="260">
        <f t="shared" si="0"/>
        <v>15</v>
      </c>
      <c r="B23" s="261" t="s">
        <v>66</v>
      </c>
      <c r="C23" s="262" t="s">
        <v>19</v>
      </c>
      <c r="D23" s="263">
        <v>22</v>
      </c>
      <c r="E23" s="264"/>
      <c r="F23" s="267">
        <f>[1]МКД!$H$196</f>
        <v>48</v>
      </c>
      <c r="G23" s="231">
        <f>H23+I23</f>
        <v>873.43</v>
      </c>
      <c r="H23" s="268">
        <v>163.26</v>
      </c>
      <c r="I23" s="268">
        <v>710.17</v>
      </c>
      <c r="J23" s="231">
        <f>K23+L23</f>
        <v>880.5</v>
      </c>
      <c r="K23" s="268">
        <v>150.01</v>
      </c>
      <c r="L23" s="229">
        <v>730.49</v>
      </c>
      <c r="M23" s="231">
        <f>N23+O23</f>
        <v>843.06999999999994</v>
      </c>
      <c r="N23" s="268">
        <v>191.17</v>
      </c>
      <c r="O23" s="229">
        <v>651.9</v>
      </c>
      <c r="P23" s="286">
        <f>M23/F23</f>
        <v>17.563958333333332</v>
      </c>
      <c r="Q23" s="16"/>
    </row>
    <row r="24" spans="1:26" ht="15" customHeight="1">
      <c r="A24" s="260">
        <f t="shared" si="0"/>
        <v>16</v>
      </c>
      <c r="B24" s="261" t="s">
        <v>66</v>
      </c>
      <c r="C24" s="269" t="s">
        <v>33</v>
      </c>
      <c r="D24" s="270">
        <v>29</v>
      </c>
      <c r="E24" s="292" t="s">
        <v>18</v>
      </c>
      <c r="F24" s="265">
        <f>[1]МКД!$H$203</f>
        <v>126</v>
      </c>
      <c r="G24" s="231">
        <f>H24+I24</f>
        <v>1666.13</v>
      </c>
      <c r="H24" s="229">
        <v>300.10000000000002</v>
      </c>
      <c r="I24" s="229">
        <v>1366.03</v>
      </c>
      <c r="J24" s="231">
        <f>K24+L24</f>
        <v>1991.27</v>
      </c>
      <c r="K24" s="229">
        <v>590.5</v>
      </c>
      <c r="L24" s="229">
        <v>1400.77</v>
      </c>
      <c r="M24" s="231">
        <f>N24+O24</f>
        <v>2111.84</v>
      </c>
      <c r="N24" s="229">
        <v>651.67999999999995</v>
      </c>
      <c r="O24" s="229">
        <v>1460.16</v>
      </c>
      <c r="P24" s="286">
        <f>M24/F24</f>
        <v>16.760634920634921</v>
      </c>
      <c r="Q24" s="16"/>
    </row>
    <row r="25" spans="1:26" ht="15" customHeight="1">
      <c r="A25" s="260">
        <f t="shared" si="0"/>
        <v>17</v>
      </c>
      <c r="B25" s="261" t="s">
        <v>66</v>
      </c>
      <c r="C25" s="262" t="s">
        <v>51</v>
      </c>
      <c r="D25" s="263">
        <v>12</v>
      </c>
      <c r="E25" s="235"/>
      <c r="F25" s="278">
        <f>[1]МКД!$H$214</f>
        <v>12</v>
      </c>
      <c r="G25" s="231">
        <f>H25+I25</f>
        <v>184.41</v>
      </c>
      <c r="H25" s="229">
        <v>95.63</v>
      </c>
      <c r="I25" s="279">
        <v>88.78</v>
      </c>
      <c r="J25" s="231">
        <f>K25+L25</f>
        <v>194.57</v>
      </c>
      <c r="K25" s="229">
        <v>110.87</v>
      </c>
      <c r="L25" s="279">
        <v>83.7</v>
      </c>
      <c r="M25" s="231">
        <f>N25+O25</f>
        <v>199.25</v>
      </c>
      <c r="N25" s="229">
        <v>99.87</v>
      </c>
      <c r="O25" s="279">
        <v>99.38</v>
      </c>
      <c r="P25" s="286">
        <f>M25/F25</f>
        <v>16.604166666666668</v>
      </c>
      <c r="Q25" s="16"/>
    </row>
    <row r="26" spans="1:26" ht="15" customHeight="1">
      <c r="A26" s="260">
        <f t="shared" si="0"/>
        <v>18</v>
      </c>
      <c r="B26" s="261" t="s">
        <v>66</v>
      </c>
      <c r="C26" s="293" t="s">
        <v>68</v>
      </c>
      <c r="D26" s="294">
        <v>2</v>
      </c>
      <c r="E26" s="295"/>
      <c r="F26" s="296">
        <f>[1]МКД!$H$209</f>
        <v>169</v>
      </c>
      <c r="G26" s="231">
        <f>H26+I26</f>
        <v>2443.2200000000003</v>
      </c>
      <c r="H26" s="229">
        <v>589.53</v>
      </c>
      <c r="I26" s="229">
        <v>1853.69</v>
      </c>
      <c r="J26" s="231">
        <f>K26+L26</f>
        <v>2739.71</v>
      </c>
      <c r="K26" s="229">
        <v>624.08000000000004</v>
      </c>
      <c r="L26" s="229">
        <v>2115.63</v>
      </c>
      <c r="M26" s="250">
        <f>N26+O26</f>
        <v>2694.4300000000003</v>
      </c>
      <c r="N26" s="250">
        <v>696.45</v>
      </c>
      <c r="O26" s="250">
        <v>1997.98</v>
      </c>
      <c r="P26" s="286">
        <f>M26/F26</f>
        <v>15.94337278106509</v>
      </c>
      <c r="Q26" s="16"/>
    </row>
    <row r="27" spans="1:26" ht="15" customHeight="1">
      <c r="A27" s="260">
        <f t="shared" si="0"/>
        <v>19</v>
      </c>
      <c r="B27" s="261" t="s">
        <v>66</v>
      </c>
      <c r="C27" s="262" t="s">
        <v>72</v>
      </c>
      <c r="D27" s="263">
        <v>3</v>
      </c>
      <c r="E27" s="277" t="s">
        <v>17</v>
      </c>
      <c r="F27" s="276">
        <f>[1]МКД!$H$223</f>
        <v>47</v>
      </c>
      <c r="G27" s="231">
        <f>H27+I27</f>
        <v>650.24</v>
      </c>
      <c r="H27" s="229">
        <v>410.3</v>
      </c>
      <c r="I27" s="229">
        <v>239.94</v>
      </c>
      <c r="J27" s="231">
        <f>K27+L27</f>
        <v>716.63</v>
      </c>
      <c r="K27" s="229">
        <v>444.06</v>
      </c>
      <c r="L27" s="229">
        <v>272.57</v>
      </c>
      <c r="M27" s="231">
        <f>N27+O27</f>
        <v>748.91000000000008</v>
      </c>
      <c r="N27" s="229">
        <v>467.25</v>
      </c>
      <c r="O27" s="229">
        <v>281.66000000000003</v>
      </c>
      <c r="P27" s="286">
        <f>M27/F27</f>
        <v>15.934255319148939</v>
      </c>
      <c r="Q27" s="85"/>
      <c r="R27" s="29"/>
      <c r="S27" s="29"/>
      <c r="T27" s="29"/>
      <c r="U27" s="27"/>
      <c r="V27" s="27"/>
      <c r="W27" s="27"/>
      <c r="X27" s="28"/>
      <c r="Y27" s="28"/>
      <c r="Z27" s="21"/>
    </row>
    <row r="28" spans="1:26" ht="15" customHeight="1">
      <c r="A28" s="260">
        <f t="shared" si="0"/>
        <v>20</v>
      </c>
      <c r="B28" s="261" t="s">
        <v>66</v>
      </c>
      <c r="C28" s="269" t="s">
        <v>33</v>
      </c>
      <c r="D28" s="273">
        <v>29</v>
      </c>
      <c r="E28" s="274"/>
      <c r="F28" s="265">
        <f>[1]МКД!$H$202</f>
        <v>116</v>
      </c>
      <c r="G28" s="231">
        <f>H28+I28</f>
        <v>1442.48</v>
      </c>
      <c r="H28" s="229">
        <v>619.66999999999996</v>
      </c>
      <c r="I28" s="229">
        <v>822.81</v>
      </c>
      <c r="J28" s="231">
        <f>K28+L28</f>
        <v>1733.12</v>
      </c>
      <c r="K28" s="229">
        <v>708.1</v>
      </c>
      <c r="L28" s="229">
        <v>1025.02</v>
      </c>
      <c r="M28" s="231">
        <f>N28+O28</f>
        <v>1826.35</v>
      </c>
      <c r="N28" s="229">
        <v>725.18</v>
      </c>
      <c r="O28" s="229">
        <v>1101.17</v>
      </c>
      <c r="P28" s="286">
        <f>M28/F28</f>
        <v>15.744396551724137</v>
      </c>
      <c r="Q28" s="85"/>
      <c r="R28" s="29"/>
      <c r="S28" s="29"/>
      <c r="T28" s="29"/>
      <c r="U28" s="27"/>
      <c r="V28" s="27"/>
      <c r="W28" s="27"/>
      <c r="X28" s="28"/>
      <c r="Y28" s="28"/>
      <c r="Z28" s="30"/>
    </row>
    <row r="29" spans="1:26" ht="15" customHeight="1">
      <c r="A29" s="260">
        <f t="shared" si="0"/>
        <v>21</v>
      </c>
      <c r="B29" s="261" t="s">
        <v>66</v>
      </c>
      <c r="C29" s="262" t="s">
        <v>51</v>
      </c>
      <c r="D29" s="263">
        <v>15</v>
      </c>
      <c r="E29" s="264"/>
      <c r="F29" s="276">
        <f>[1]МКД!$H$217</f>
        <v>48</v>
      </c>
      <c r="G29" s="231">
        <f>H29+I29</f>
        <v>732.04</v>
      </c>
      <c r="H29" s="229">
        <v>256.12</v>
      </c>
      <c r="I29" s="229">
        <v>475.92</v>
      </c>
      <c r="J29" s="231">
        <f>K29+L29</f>
        <v>728.56000000000006</v>
      </c>
      <c r="K29" s="229">
        <v>253.08</v>
      </c>
      <c r="L29" s="229">
        <v>475.48</v>
      </c>
      <c r="M29" s="231">
        <f>N29+O29</f>
        <v>741.35</v>
      </c>
      <c r="N29" s="229">
        <v>255.71</v>
      </c>
      <c r="O29" s="229">
        <v>485.64</v>
      </c>
      <c r="P29" s="286">
        <f>M29/F29</f>
        <v>15.444791666666667</v>
      </c>
      <c r="Q29" s="85"/>
      <c r="R29" s="29"/>
      <c r="S29" s="29"/>
      <c r="T29" s="29"/>
      <c r="U29" s="27"/>
      <c r="V29" s="27"/>
      <c r="W29" s="27"/>
      <c r="X29" s="28"/>
      <c r="Y29" s="28"/>
      <c r="Z29" s="21"/>
    </row>
    <row r="30" spans="1:26" ht="15" customHeight="1">
      <c r="A30" s="260">
        <f t="shared" si="0"/>
        <v>22</v>
      </c>
      <c r="B30" s="261" t="s">
        <v>66</v>
      </c>
      <c r="C30" s="269" t="s">
        <v>69</v>
      </c>
      <c r="D30" s="263">
        <v>20</v>
      </c>
      <c r="E30" s="264"/>
      <c r="F30" s="276">
        <f>[1]МКД!$H$220</f>
        <v>36</v>
      </c>
      <c r="G30" s="231">
        <f>H30+I30</f>
        <v>634.67999999999995</v>
      </c>
      <c r="H30" s="229">
        <v>169.9</v>
      </c>
      <c r="I30" s="229">
        <v>464.78</v>
      </c>
      <c r="J30" s="231">
        <f>K30+L30</f>
        <v>525.17000000000007</v>
      </c>
      <c r="K30" s="229">
        <v>163.43</v>
      </c>
      <c r="L30" s="229">
        <v>361.74</v>
      </c>
      <c r="M30" s="231">
        <f>N30+O30</f>
        <v>553.45000000000005</v>
      </c>
      <c r="N30" s="229">
        <v>267.79000000000002</v>
      </c>
      <c r="O30" s="229">
        <v>285.66000000000003</v>
      </c>
      <c r="P30" s="286">
        <f>M30/F30</f>
        <v>15.373611111111112</v>
      </c>
      <c r="Q30" s="32"/>
      <c r="R30" s="32"/>
      <c r="S30" s="32"/>
      <c r="T30" s="32"/>
      <c r="U30" s="33"/>
      <c r="V30" s="31"/>
      <c r="W30" s="31"/>
      <c r="X30" s="31"/>
      <c r="Y30" s="31"/>
      <c r="Z30" s="31"/>
    </row>
    <row r="31" spans="1:26" ht="15" customHeight="1">
      <c r="A31" s="260">
        <f t="shared" si="0"/>
        <v>23</v>
      </c>
      <c r="B31" s="261" t="s">
        <v>66</v>
      </c>
      <c r="C31" s="269" t="s">
        <v>33</v>
      </c>
      <c r="D31" s="270">
        <v>23</v>
      </c>
      <c r="E31" s="271" t="s">
        <v>17</v>
      </c>
      <c r="F31" s="267">
        <f>[1]МКД!$H$198</f>
        <v>109</v>
      </c>
      <c r="G31" s="231">
        <f>H31+I31</f>
        <v>1427.83</v>
      </c>
      <c r="H31" s="268">
        <v>785.54</v>
      </c>
      <c r="I31" s="268">
        <v>642.29</v>
      </c>
      <c r="J31" s="231">
        <f>K31+L31</f>
        <v>1505.02</v>
      </c>
      <c r="K31" s="268">
        <v>869.5</v>
      </c>
      <c r="L31" s="229">
        <v>635.52</v>
      </c>
      <c r="M31" s="231">
        <f>N31+O31</f>
        <v>1423</v>
      </c>
      <c r="N31" s="268">
        <v>783.44</v>
      </c>
      <c r="O31" s="229">
        <v>639.55999999999995</v>
      </c>
      <c r="P31" s="286">
        <f>M31/F31</f>
        <v>13.055045871559633</v>
      </c>
      <c r="Q31" s="16"/>
    </row>
    <row r="32" spans="1:26" ht="15" customHeight="1">
      <c r="A32" s="260">
        <f t="shared" si="0"/>
        <v>24</v>
      </c>
      <c r="B32" s="261" t="s">
        <v>66</v>
      </c>
      <c r="C32" s="262" t="s">
        <v>55</v>
      </c>
      <c r="D32" s="263">
        <v>9</v>
      </c>
      <c r="E32" s="264"/>
      <c r="F32" s="266">
        <f>[1]МКД!$H$195</f>
        <v>60</v>
      </c>
      <c r="G32" s="231">
        <f>H32+I32</f>
        <v>978.07999999999993</v>
      </c>
      <c r="H32" s="229">
        <v>362.57</v>
      </c>
      <c r="I32" s="229">
        <v>615.51</v>
      </c>
      <c r="J32" s="231">
        <f>K32+L32</f>
        <v>815.2</v>
      </c>
      <c r="K32" s="229">
        <v>350.51</v>
      </c>
      <c r="L32" s="229">
        <v>464.69</v>
      </c>
      <c r="M32" s="231">
        <f>N32+O32</f>
        <v>728.87</v>
      </c>
      <c r="N32" s="229">
        <v>320.98</v>
      </c>
      <c r="O32" s="229">
        <v>407.89</v>
      </c>
      <c r="P32" s="286">
        <f>M32/F32</f>
        <v>12.147833333333333</v>
      </c>
      <c r="Q32" s="16"/>
    </row>
    <row r="33" spans="1:26" ht="15" customHeight="1">
      <c r="A33" s="260">
        <f t="shared" si="0"/>
        <v>25</v>
      </c>
      <c r="B33" s="261" t="s">
        <v>66</v>
      </c>
      <c r="C33" s="269" t="s">
        <v>67</v>
      </c>
      <c r="D33" s="277">
        <v>3</v>
      </c>
      <c r="E33" s="277" t="s">
        <v>17</v>
      </c>
      <c r="F33" s="265">
        <f>[1]МКД!$H$193</f>
        <v>36</v>
      </c>
      <c r="G33" s="231">
        <f>H33+I33</f>
        <v>404.84000000000003</v>
      </c>
      <c r="H33" s="229">
        <v>203.65</v>
      </c>
      <c r="I33" s="229">
        <v>201.19</v>
      </c>
      <c r="J33" s="231">
        <f>K33+L33</f>
        <v>419.49</v>
      </c>
      <c r="K33" s="229">
        <v>204.7</v>
      </c>
      <c r="L33" s="229">
        <v>214.79</v>
      </c>
      <c r="M33" s="231">
        <f>N33+O33</f>
        <v>432.29999999999995</v>
      </c>
      <c r="N33" s="229">
        <v>205.38</v>
      </c>
      <c r="O33" s="229">
        <v>226.92</v>
      </c>
      <c r="P33" s="286">
        <f>M33/F33</f>
        <v>12.008333333333333</v>
      </c>
      <c r="Q33" s="16"/>
    </row>
    <row r="34" spans="1:26" ht="15" customHeight="1">
      <c r="A34" s="260">
        <f t="shared" si="0"/>
        <v>26</v>
      </c>
      <c r="B34" s="261" t="s">
        <v>66</v>
      </c>
      <c r="C34" s="262" t="s">
        <v>70</v>
      </c>
      <c r="D34" s="263">
        <v>4</v>
      </c>
      <c r="E34" s="264"/>
      <c r="F34" s="276">
        <f>[1]МКД!$H$221</f>
        <v>18</v>
      </c>
      <c r="G34" s="231">
        <f>H34+I34</f>
        <v>213.85999999999999</v>
      </c>
      <c r="H34" s="229">
        <v>69.72</v>
      </c>
      <c r="I34" s="229">
        <v>144.13999999999999</v>
      </c>
      <c r="J34" s="231">
        <f>K34+L34</f>
        <v>222.60999999999999</v>
      </c>
      <c r="K34" s="229">
        <v>67.63</v>
      </c>
      <c r="L34" s="229">
        <v>154.97999999999999</v>
      </c>
      <c r="M34" s="231">
        <f>N34+O34</f>
        <v>205.73</v>
      </c>
      <c r="N34" s="229">
        <v>73.099999999999994</v>
      </c>
      <c r="O34" s="229">
        <v>132.63</v>
      </c>
      <c r="P34" s="286">
        <f>M34/F34</f>
        <v>11.429444444444444</v>
      </c>
      <c r="Q34" s="16"/>
    </row>
    <row r="35" spans="1:26" ht="15" customHeight="1">
      <c r="A35" s="260">
        <f t="shared" si="0"/>
        <v>27</v>
      </c>
      <c r="B35" s="261" t="s">
        <v>66</v>
      </c>
      <c r="C35" s="262" t="s">
        <v>51</v>
      </c>
      <c r="D35" s="263">
        <v>13</v>
      </c>
      <c r="E35" s="263"/>
      <c r="F35" s="280">
        <f>[1]МКД!$H$216</f>
        <v>48</v>
      </c>
      <c r="G35" s="231">
        <f>H35+I35</f>
        <v>338.47</v>
      </c>
      <c r="H35" s="229">
        <v>156.07</v>
      </c>
      <c r="I35" s="229">
        <v>182.4</v>
      </c>
      <c r="J35" s="231">
        <f>K35+L35</f>
        <v>377.43</v>
      </c>
      <c r="K35" s="229">
        <v>201.78</v>
      </c>
      <c r="L35" s="229">
        <v>175.65</v>
      </c>
      <c r="M35" s="231">
        <f>N35+O35</f>
        <v>411.08000000000004</v>
      </c>
      <c r="N35" s="229">
        <v>205.75</v>
      </c>
      <c r="O35" s="229">
        <v>205.33</v>
      </c>
      <c r="P35" s="286">
        <f>M35/F35</f>
        <v>8.5641666666666669</v>
      </c>
      <c r="Q35" s="16"/>
    </row>
    <row r="36" spans="1:26" ht="15" customHeight="1">
      <c r="A36" s="260">
        <f t="shared" si="0"/>
        <v>28</v>
      </c>
      <c r="B36" s="261" t="s">
        <v>66</v>
      </c>
      <c r="C36" s="269" t="s">
        <v>30</v>
      </c>
      <c r="D36" s="277">
        <v>6</v>
      </c>
      <c r="E36" s="277" t="s">
        <v>18</v>
      </c>
      <c r="F36" s="276">
        <f>[1]МКД!$H$225</f>
        <v>183</v>
      </c>
      <c r="G36" s="231">
        <f>H36+I36</f>
        <v>990.33</v>
      </c>
      <c r="H36" s="229">
        <v>523.83000000000004</v>
      </c>
      <c r="I36" s="229">
        <v>466.5</v>
      </c>
      <c r="J36" s="231">
        <f>K36+L36</f>
        <v>1193.73</v>
      </c>
      <c r="K36" s="229">
        <v>643.87</v>
      </c>
      <c r="L36" s="229">
        <v>549.86</v>
      </c>
      <c r="M36" s="231">
        <f>N36+O36</f>
        <v>1116.5</v>
      </c>
      <c r="N36" s="229">
        <v>606.78</v>
      </c>
      <c r="O36" s="229">
        <v>509.72</v>
      </c>
      <c r="P36" s="286">
        <f>M36/F36</f>
        <v>6.1010928961748636</v>
      </c>
      <c r="Q36" s="16"/>
    </row>
    <row r="37" spans="1:26" ht="15" customHeight="1">
      <c r="A37" s="260">
        <f t="shared" si="0"/>
        <v>29</v>
      </c>
      <c r="B37" s="261" t="s">
        <v>66</v>
      </c>
      <c r="C37" s="262" t="s">
        <v>51</v>
      </c>
      <c r="D37" s="263">
        <v>12</v>
      </c>
      <c r="E37" s="263" t="s">
        <v>17</v>
      </c>
      <c r="F37" s="278">
        <f>[1]МКД!$H$215</f>
        <v>12</v>
      </c>
      <c r="G37" s="231">
        <f>H37+I37</f>
        <v>85.42</v>
      </c>
      <c r="H37" s="229">
        <v>54.07</v>
      </c>
      <c r="I37" s="229">
        <v>31.35</v>
      </c>
      <c r="J37" s="231">
        <f>K37+L37</f>
        <v>66.37</v>
      </c>
      <c r="K37" s="229">
        <v>41.79</v>
      </c>
      <c r="L37" s="229">
        <v>24.58</v>
      </c>
      <c r="M37" s="231">
        <f>N37+O37</f>
        <v>70.150000000000006</v>
      </c>
      <c r="N37" s="229">
        <v>46.1</v>
      </c>
      <c r="O37" s="229">
        <v>24.05</v>
      </c>
      <c r="P37" s="286">
        <f>M37/F37</f>
        <v>5.8458333333333341</v>
      </c>
      <c r="Q37" s="16"/>
    </row>
    <row r="38" spans="1:26" ht="15" customHeight="1">
      <c r="A38" s="260">
        <f t="shared" si="0"/>
        <v>30</v>
      </c>
      <c r="B38" s="261" t="s">
        <v>66</v>
      </c>
      <c r="C38" s="269" t="s">
        <v>30</v>
      </c>
      <c r="D38" s="277">
        <v>6</v>
      </c>
      <c r="E38" s="277" t="s">
        <v>17</v>
      </c>
      <c r="F38" s="276">
        <f>[1]МКД!$H$224</f>
        <v>76</v>
      </c>
      <c r="G38" s="231">
        <f>H38+I38</f>
        <v>305.64999999999998</v>
      </c>
      <c r="H38" s="229">
        <v>176.03</v>
      </c>
      <c r="I38" s="229">
        <v>129.62</v>
      </c>
      <c r="J38" s="231">
        <f>K38+L38</f>
        <v>310.31</v>
      </c>
      <c r="K38" s="229">
        <v>173.95</v>
      </c>
      <c r="L38" s="229">
        <v>136.36000000000001</v>
      </c>
      <c r="M38" s="231">
        <f>N38+O38</f>
        <v>323.33</v>
      </c>
      <c r="N38" s="229">
        <v>196.81</v>
      </c>
      <c r="O38" s="229">
        <v>126.52</v>
      </c>
      <c r="P38" s="286">
        <f>M38/F38</f>
        <v>4.2543421052631576</v>
      </c>
      <c r="Q38" s="16"/>
    </row>
    <row r="39" spans="1:26" ht="15" customHeight="1">
      <c r="A39" s="260">
        <f t="shared" si="0"/>
        <v>31</v>
      </c>
      <c r="B39" s="261" t="s">
        <v>66</v>
      </c>
      <c r="C39" s="269" t="s">
        <v>69</v>
      </c>
      <c r="D39" s="273">
        <v>8</v>
      </c>
      <c r="E39" s="264"/>
      <c r="F39" s="276">
        <f>[1]МКД!$H$211</f>
        <v>12</v>
      </c>
      <c r="G39" s="231">
        <f>H39+I39</f>
        <v>28.009999999999998</v>
      </c>
      <c r="H39" s="229">
        <v>11.17</v>
      </c>
      <c r="I39" s="229">
        <v>16.84</v>
      </c>
      <c r="J39" s="231">
        <f>K39+L39</f>
        <v>21.28</v>
      </c>
      <c r="K39" s="229">
        <v>8.9600000000000009</v>
      </c>
      <c r="L39" s="229">
        <v>12.32</v>
      </c>
      <c r="M39" s="231">
        <f>N39+O39</f>
        <v>22.78</v>
      </c>
      <c r="N39" s="229">
        <v>14.42</v>
      </c>
      <c r="O39" s="229">
        <v>8.36</v>
      </c>
      <c r="P39" s="286">
        <f>M39/F39</f>
        <v>1.8983333333333334</v>
      </c>
      <c r="Q39" s="16"/>
    </row>
    <row r="40" spans="1:26" s="39" customFormat="1" ht="15">
      <c r="A40" s="239"/>
      <c r="B40" s="239" t="s">
        <v>8</v>
      </c>
      <c r="C40" s="239"/>
      <c r="D40" s="239"/>
      <c r="E40" s="239"/>
      <c r="F40" s="282">
        <f>SUM(F9:F39)</f>
        <v>1735</v>
      </c>
      <c r="G40" s="282">
        <f>SUM(G9:G39)</f>
        <v>25791.30000000001</v>
      </c>
      <c r="H40" s="282">
        <f t="shared" ref="H40:L40" si="1">SUM(H9:H39)</f>
        <v>8625.880000000001</v>
      </c>
      <c r="I40" s="282">
        <f t="shared" si="1"/>
        <v>17165.420000000002</v>
      </c>
      <c r="J40" s="282">
        <f t="shared" si="1"/>
        <v>28219.670000000006</v>
      </c>
      <c r="K40" s="282">
        <f t="shared" si="1"/>
        <v>9567.5700000000015</v>
      </c>
      <c r="L40" s="282">
        <f t="shared" si="1"/>
        <v>18652.100000000002</v>
      </c>
      <c r="M40" s="282">
        <f t="shared" ref="M40:N40" si="2">SUM(M9:M39)</f>
        <v>28388.890000000003</v>
      </c>
      <c r="N40" s="282">
        <f t="shared" si="2"/>
        <v>9940.2900000000009</v>
      </c>
      <c r="O40" s="282">
        <f>SUM(O9:O39)</f>
        <v>18448.599999999999</v>
      </c>
      <c r="P40" s="238"/>
    </row>
    <row r="41" spans="1:26" s="79" customFormat="1" ht="15" customHeight="1">
      <c r="A41" s="283" t="s">
        <v>114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5"/>
      <c r="Q41" s="86"/>
    </row>
    <row r="42" spans="1:26" ht="15">
      <c r="A42" s="260">
        <v>1</v>
      </c>
      <c r="B42" s="261" t="s">
        <v>66</v>
      </c>
      <c r="C42" s="269" t="s">
        <v>55</v>
      </c>
      <c r="D42" s="277">
        <v>3</v>
      </c>
      <c r="E42" s="281"/>
      <c r="F42" s="276">
        <v>24</v>
      </c>
      <c r="G42" s="231">
        <f t="shared" ref="G42:G48" si="3">H42+I42</f>
        <v>49.379999999999995</v>
      </c>
      <c r="H42" s="229">
        <v>23.8</v>
      </c>
      <c r="I42" s="229">
        <v>25.58</v>
      </c>
      <c r="J42" s="231">
        <f t="shared" ref="J42:J48" si="4">K42+L42</f>
        <v>49.379999999999995</v>
      </c>
      <c r="K42" s="231">
        <v>23.8</v>
      </c>
      <c r="L42" s="229">
        <v>25.58</v>
      </c>
      <c r="M42" s="231">
        <f t="shared" ref="M42:M48" si="5">N42+O42</f>
        <v>49.379999999999995</v>
      </c>
      <c r="N42" s="231">
        <v>23.8</v>
      </c>
      <c r="O42" s="229">
        <v>25.58</v>
      </c>
      <c r="P42" s="286">
        <f>M42/F42</f>
        <v>2.0574999999999997</v>
      </c>
      <c r="Q42" s="188"/>
    </row>
    <row r="43" spans="1:26" ht="15">
      <c r="A43" s="260">
        <f t="shared" ref="A43:A48" si="6">A42+1</f>
        <v>2</v>
      </c>
      <c r="B43" s="261" t="s">
        <v>66</v>
      </c>
      <c r="C43" s="269" t="s">
        <v>33</v>
      </c>
      <c r="D43" s="277">
        <v>38</v>
      </c>
      <c r="E43" s="281"/>
      <c r="F43" s="276">
        <v>145</v>
      </c>
      <c r="G43" s="231">
        <f t="shared" si="3"/>
        <v>521.34</v>
      </c>
      <c r="H43" s="229">
        <v>85.42</v>
      </c>
      <c r="I43" s="229">
        <v>435.92</v>
      </c>
      <c r="J43" s="231">
        <f t="shared" si="4"/>
        <v>521.34</v>
      </c>
      <c r="K43" s="231">
        <v>85.42</v>
      </c>
      <c r="L43" s="229">
        <v>435.92</v>
      </c>
      <c r="M43" s="231">
        <f t="shared" si="5"/>
        <v>521.34</v>
      </c>
      <c r="N43" s="231">
        <v>85.42</v>
      </c>
      <c r="O43" s="229">
        <v>435.92</v>
      </c>
      <c r="P43" s="286">
        <f>M43/F43</f>
        <v>3.5954482758620694</v>
      </c>
      <c r="Q43" s="188"/>
    </row>
    <row r="44" spans="1:26" ht="15">
      <c r="A44" s="260">
        <f t="shared" si="6"/>
        <v>3</v>
      </c>
      <c r="B44" s="261" t="s">
        <v>66</v>
      </c>
      <c r="C44" s="269" t="s">
        <v>68</v>
      </c>
      <c r="D44" s="277">
        <v>8</v>
      </c>
      <c r="E44" s="281"/>
      <c r="F44" s="276">
        <v>98</v>
      </c>
      <c r="G44" s="231">
        <f t="shared" si="3"/>
        <v>441.18299999999999</v>
      </c>
      <c r="H44" s="229">
        <v>55.052999999999997</v>
      </c>
      <c r="I44" s="229">
        <v>386.13</v>
      </c>
      <c r="J44" s="231">
        <f t="shared" si="4"/>
        <v>360.15</v>
      </c>
      <c r="K44" s="231">
        <v>7.34</v>
      </c>
      <c r="L44" s="229">
        <v>352.81</v>
      </c>
      <c r="M44" s="231">
        <f t="shared" si="5"/>
        <v>360.15</v>
      </c>
      <c r="N44" s="231">
        <v>7.34</v>
      </c>
      <c r="O44" s="229">
        <v>352.81</v>
      </c>
      <c r="P44" s="286">
        <f t="shared" ref="P44:P47" si="7">M44/F44</f>
        <v>3.6749999999999998</v>
      </c>
      <c r="Q44" s="188"/>
    </row>
    <row r="45" spans="1:26" ht="15">
      <c r="A45" s="260">
        <f t="shared" si="6"/>
        <v>4</v>
      </c>
      <c r="B45" s="261" t="s">
        <v>66</v>
      </c>
      <c r="C45" s="262" t="s">
        <v>71</v>
      </c>
      <c r="D45" s="263">
        <v>32</v>
      </c>
      <c r="E45" s="263"/>
      <c r="F45" s="276">
        <f>[1]МКД!$H$222</f>
        <v>50</v>
      </c>
      <c r="G45" s="289">
        <f t="shared" si="3"/>
        <v>703.93999999999994</v>
      </c>
      <c r="H45" s="290">
        <v>223.54</v>
      </c>
      <c r="I45" s="290">
        <v>480.4</v>
      </c>
      <c r="J45" s="231">
        <f t="shared" si="4"/>
        <v>638.55999999999995</v>
      </c>
      <c r="K45" s="231">
        <v>241.72</v>
      </c>
      <c r="L45" s="229">
        <v>396.84</v>
      </c>
      <c r="M45" s="231">
        <f t="shared" si="5"/>
        <v>372.3</v>
      </c>
      <c r="N45" s="231">
        <v>92.88</v>
      </c>
      <c r="O45" s="229">
        <v>279.42</v>
      </c>
      <c r="P45" s="286">
        <f t="shared" si="7"/>
        <v>7.4460000000000006</v>
      </c>
      <c r="Q45" s="188"/>
    </row>
    <row r="46" spans="1:26" ht="15">
      <c r="A46" s="260">
        <f t="shared" si="6"/>
        <v>5</v>
      </c>
      <c r="B46" s="261" t="s">
        <v>66</v>
      </c>
      <c r="C46" s="269" t="s">
        <v>41</v>
      </c>
      <c r="D46" s="277">
        <v>36</v>
      </c>
      <c r="E46" s="287"/>
      <c r="F46" s="267">
        <f>[1]МКД!$H$197</f>
        <v>66</v>
      </c>
      <c r="G46" s="289">
        <f t="shared" si="3"/>
        <v>2823.06</v>
      </c>
      <c r="H46" s="291">
        <v>1105.44</v>
      </c>
      <c r="I46" s="291">
        <v>1717.62</v>
      </c>
      <c r="J46" s="231">
        <f t="shared" si="4"/>
        <v>2747.0699999999997</v>
      </c>
      <c r="K46" s="231">
        <v>1048.1099999999999</v>
      </c>
      <c r="L46" s="229">
        <v>1698.96</v>
      </c>
      <c r="M46" s="231">
        <f t="shared" si="5"/>
        <v>2453.4499999999998</v>
      </c>
      <c r="N46" s="231">
        <v>958.08</v>
      </c>
      <c r="O46" s="229">
        <v>1495.37</v>
      </c>
      <c r="P46" s="286">
        <f t="shared" si="7"/>
        <v>37.173484848484847</v>
      </c>
      <c r="Q46" s="188"/>
      <c r="R46" s="29"/>
      <c r="S46" s="29"/>
      <c r="T46" s="29"/>
      <c r="U46" s="27"/>
      <c r="V46" s="27"/>
      <c r="W46" s="27"/>
      <c r="X46" s="28"/>
      <c r="Y46" s="28"/>
      <c r="Z46" s="30"/>
    </row>
    <row r="47" spans="1:26" ht="15">
      <c r="A47" s="260">
        <f t="shared" si="6"/>
        <v>6</v>
      </c>
      <c r="B47" s="261" t="s">
        <v>66</v>
      </c>
      <c r="C47" s="262" t="s">
        <v>51</v>
      </c>
      <c r="D47" s="263">
        <v>10</v>
      </c>
      <c r="E47" s="274"/>
      <c r="F47" s="288">
        <f>[1]МКД!$H$212</f>
        <v>12</v>
      </c>
      <c r="G47" s="289">
        <f t="shared" si="3"/>
        <v>271.52999999999997</v>
      </c>
      <c r="H47" s="290">
        <v>91.35</v>
      </c>
      <c r="I47" s="290">
        <v>180.18</v>
      </c>
      <c r="J47" s="231">
        <f t="shared" si="4"/>
        <v>264.65999999999997</v>
      </c>
      <c r="K47" s="231">
        <v>88.43</v>
      </c>
      <c r="L47" s="229">
        <v>176.23</v>
      </c>
      <c r="M47" s="231">
        <f t="shared" si="5"/>
        <v>264.65999999999997</v>
      </c>
      <c r="N47" s="231">
        <v>88.43</v>
      </c>
      <c r="O47" s="229">
        <v>176.23</v>
      </c>
      <c r="P47" s="286">
        <f t="shared" si="7"/>
        <v>22.054999999999996</v>
      </c>
      <c r="Q47" s="188"/>
      <c r="R47" s="25"/>
      <c r="S47" s="26"/>
      <c r="T47" s="26"/>
      <c r="U47" s="27"/>
      <c r="V47" s="27"/>
      <c r="W47" s="27"/>
      <c r="X47" s="28"/>
      <c r="Y47" s="28"/>
      <c r="Z47" s="28"/>
    </row>
    <row r="48" spans="1:26" ht="15">
      <c r="A48" s="260">
        <f t="shared" si="6"/>
        <v>7</v>
      </c>
      <c r="B48" s="261" t="s">
        <v>66</v>
      </c>
      <c r="C48" s="269" t="s">
        <v>68</v>
      </c>
      <c r="D48" s="273">
        <v>6</v>
      </c>
      <c r="E48" s="275"/>
      <c r="F48" s="276">
        <f>[1]МКД!$H$210</f>
        <v>133</v>
      </c>
      <c r="G48" s="289">
        <f t="shared" si="3"/>
        <v>250.54</v>
      </c>
      <c r="H48" s="290">
        <v>53.38</v>
      </c>
      <c r="I48" s="290">
        <v>197.16</v>
      </c>
      <c r="J48" s="231">
        <f t="shared" si="4"/>
        <v>215.62</v>
      </c>
      <c r="K48" s="231">
        <v>28.06</v>
      </c>
      <c r="L48" s="229">
        <v>187.56</v>
      </c>
      <c r="M48" s="231">
        <f t="shared" si="5"/>
        <v>152.41</v>
      </c>
      <c r="N48" s="231">
        <v>3.62</v>
      </c>
      <c r="O48" s="229">
        <v>148.79</v>
      </c>
      <c r="P48" s="286">
        <f>M48/F48</f>
        <v>1.14593984962406</v>
      </c>
      <c r="Q48" s="188"/>
    </row>
    <row r="49" spans="1:20" s="39" customFormat="1" ht="15">
      <c r="A49" s="239"/>
      <c r="B49" s="239" t="s">
        <v>8</v>
      </c>
      <c r="C49" s="239"/>
      <c r="D49" s="239"/>
      <c r="E49" s="239"/>
      <c r="F49" s="282">
        <f>SUM(F42:F48)</f>
        <v>528</v>
      </c>
      <c r="G49" s="282">
        <f t="shared" ref="G49:H49" si="8">SUM(G42:G44)</f>
        <v>1011.903</v>
      </c>
      <c r="H49" s="282">
        <f t="shared" si="8"/>
        <v>164.273</v>
      </c>
      <c r="I49" s="282">
        <f>SUM(I42:I44)</f>
        <v>847.63</v>
      </c>
      <c r="J49" s="282">
        <f t="shared" ref="J49:O49" si="9">SUM(J42:J48)</f>
        <v>4796.78</v>
      </c>
      <c r="K49" s="282">
        <f t="shared" si="9"/>
        <v>1522.8799999999999</v>
      </c>
      <c r="L49" s="282">
        <f t="shared" si="9"/>
        <v>3273.8999999999996</v>
      </c>
      <c r="M49" s="282">
        <f t="shared" si="9"/>
        <v>4173.6899999999996</v>
      </c>
      <c r="N49" s="282">
        <f t="shared" si="9"/>
        <v>1259.57</v>
      </c>
      <c r="O49" s="282">
        <f t="shared" si="9"/>
        <v>2914.12</v>
      </c>
      <c r="P49" s="238"/>
    </row>
    <row r="51" spans="1:20" s="253" customFormat="1" ht="17.25" customHeight="1">
      <c r="B51" s="254" t="s">
        <v>137</v>
      </c>
    </row>
    <row r="52" spans="1:20" s="253" customFormat="1" ht="46.5" customHeight="1">
      <c r="B52" s="175" t="s">
        <v>143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255"/>
      <c r="O52" s="255"/>
      <c r="P52" s="255"/>
      <c r="Q52" s="255"/>
      <c r="R52" s="255"/>
      <c r="S52" s="255"/>
      <c r="T52" s="255"/>
    </row>
    <row r="53" spans="1:20">
      <c r="C53" s="112"/>
    </row>
    <row r="54" spans="1:20">
      <c r="C54" s="112"/>
    </row>
    <row r="55" spans="1:20">
      <c r="C55" s="112"/>
    </row>
  </sheetData>
  <sortState ref="C9:P39">
    <sortCondition descending="1" ref="P9:P39"/>
  </sortState>
  <mergeCells count="24">
    <mergeCell ref="B52:M52"/>
    <mergeCell ref="Q45:Q48"/>
    <mergeCell ref="C3:F3"/>
    <mergeCell ref="D4:F4"/>
    <mergeCell ref="F5:F8"/>
    <mergeCell ref="Y4:Z4"/>
    <mergeCell ref="Q42:Q44"/>
    <mergeCell ref="P5:P8"/>
    <mergeCell ref="A41:P41"/>
    <mergeCell ref="M5:O6"/>
    <mergeCell ref="M7:M8"/>
    <mergeCell ref="N7:O7"/>
    <mergeCell ref="A5:A8"/>
    <mergeCell ref="B5:B8"/>
    <mergeCell ref="C5:E6"/>
    <mergeCell ref="J5:L6"/>
    <mergeCell ref="C7:C8"/>
    <mergeCell ref="J7:J8"/>
    <mergeCell ref="K7:L7"/>
    <mergeCell ref="D7:D8"/>
    <mergeCell ref="E7:E8"/>
    <mergeCell ref="G5:I6"/>
    <mergeCell ref="G7:G8"/>
    <mergeCell ref="H7:I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23"/>
  <sheetViews>
    <sheetView zoomScaleNormal="100" zoomScaleSheetLayoutView="100" workbookViewId="0">
      <pane xSplit="6" ySplit="6" topLeftCell="G205" activePane="bottomRight" state="frozen"/>
      <selection pane="topRight" activeCell="G1" sqref="G1"/>
      <selection pane="bottomLeft" activeCell="A7" sqref="A7"/>
      <selection pane="bottomRight" activeCell="A169" sqref="A169:F169"/>
    </sheetView>
  </sheetViews>
  <sheetFormatPr defaultRowHeight="15"/>
  <cols>
    <col min="1" max="1" width="5.140625" customWidth="1"/>
    <col min="2" max="2" width="26.140625" customWidth="1"/>
    <col min="3" max="3" width="16.85546875" customWidth="1"/>
    <col min="4" max="4" width="6.85546875" customWidth="1"/>
    <col min="5" max="5" width="7.5703125" customWidth="1"/>
    <col min="6" max="6" width="11.85546875" style="11" customWidth="1"/>
    <col min="7" max="12" width="10.5703125" style="53" customWidth="1"/>
    <col min="13" max="13" width="10.42578125" style="53" customWidth="1"/>
    <col min="14" max="14" width="11" style="53" customWidth="1"/>
    <col min="15" max="15" width="14.85546875" style="53" customWidth="1"/>
    <col min="16" max="16" width="10.5703125" style="53" customWidth="1"/>
  </cols>
  <sheetData>
    <row r="1" spans="1:16">
      <c r="C1" s="173" t="s">
        <v>10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>
      <c r="C2" s="176"/>
      <c r="D2" s="176"/>
      <c r="E2" s="176"/>
      <c r="F2" s="176"/>
    </row>
    <row r="3" spans="1:16">
      <c r="G3" s="50"/>
      <c r="H3" s="50"/>
      <c r="I3" s="50"/>
      <c r="J3" s="50"/>
      <c r="K3" s="50"/>
      <c r="L3" s="50"/>
      <c r="M3" s="50"/>
      <c r="N3" s="50"/>
      <c r="O3" s="50"/>
      <c r="P3" s="50" t="s">
        <v>9</v>
      </c>
    </row>
    <row r="4" spans="1:16" s="113" customFormat="1" ht="43.5" customHeight="1">
      <c r="A4" s="201" t="s">
        <v>0</v>
      </c>
      <c r="B4" s="201" t="s">
        <v>12</v>
      </c>
      <c r="C4" s="201" t="s">
        <v>1</v>
      </c>
      <c r="D4" s="201"/>
      <c r="E4" s="201"/>
      <c r="F4" s="210" t="s">
        <v>76</v>
      </c>
      <c r="G4" s="204" t="s">
        <v>132</v>
      </c>
      <c r="H4" s="204"/>
      <c r="I4" s="205"/>
      <c r="J4" s="203" t="s">
        <v>133</v>
      </c>
      <c r="K4" s="204"/>
      <c r="L4" s="205"/>
      <c r="M4" s="203" t="s">
        <v>134</v>
      </c>
      <c r="N4" s="204"/>
      <c r="O4" s="205"/>
      <c r="P4" s="206" t="s">
        <v>104</v>
      </c>
    </row>
    <row r="5" spans="1:16" s="113" customFormat="1" ht="13.5" customHeight="1">
      <c r="A5" s="201"/>
      <c r="B5" s="201"/>
      <c r="C5" s="201" t="s">
        <v>2</v>
      </c>
      <c r="D5" s="202" t="s">
        <v>3</v>
      </c>
      <c r="E5" s="202" t="s">
        <v>4</v>
      </c>
      <c r="F5" s="211"/>
      <c r="G5" s="200" t="s">
        <v>5</v>
      </c>
      <c r="H5" s="208" t="s">
        <v>11</v>
      </c>
      <c r="I5" s="209"/>
      <c r="J5" s="200" t="s">
        <v>5</v>
      </c>
      <c r="K5" s="208" t="s">
        <v>11</v>
      </c>
      <c r="L5" s="209"/>
      <c r="M5" s="200" t="s">
        <v>5</v>
      </c>
      <c r="N5" s="208" t="s">
        <v>11</v>
      </c>
      <c r="O5" s="209"/>
      <c r="P5" s="207"/>
    </row>
    <row r="6" spans="1:16" s="113" customFormat="1" ht="60">
      <c r="A6" s="201"/>
      <c r="B6" s="201"/>
      <c r="C6" s="201"/>
      <c r="D6" s="202"/>
      <c r="E6" s="202"/>
      <c r="F6" s="212"/>
      <c r="G6" s="200"/>
      <c r="H6" s="114" t="s">
        <v>6</v>
      </c>
      <c r="I6" s="115" t="s">
        <v>7</v>
      </c>
      <c r="J6" s="200"/>
      <c r="K6" s="114" t="s">
        <v>6</v>
      </c>
      <c r="L6" s="115" t="s">
        <v>7</v>
      </c>
      <c r="M6" s="200"/>
      <c r="N6" s="114" t="s">
        <v>6</v>
      </c>
      <c r="O6" s="115" t="s">
        <v>7</v>
      </c>
      <c r="P6" s="207"/>
    </row>
    <row r="7" spans="1:16" s="117" customFormat="1" ht="15" customHeight="1">
      <c r="A7" s="302">
        <v>1</v>
      </c>
      <c r="B7" s="116" t="s">
        <v>74</v>
      </c>
      <c r="C7" s="321" t="s">
        <v>32</v>
      </c>
      <c r="D7" s="322">
        <v>17</v>
      </c>
      <c r="E7" s="322" t="s">
        <v>17</v>
      </c>
      <c r="F7" s="323">
        <f>[2]МКД!$H$34</f>
        <v>8</v>
      </c>
      <c r="G7" s="307">
        <f>H7+I7</f>
        <v>793.37899999999991</v>
      </c>
      <c r="H7" s="307">
        <v>221.92599999999999</v>
      </c>
      <c r="I7" s="307">
        <v>571.45299999999997</v>
      </c>
      <c r="J7" s="308">
        <f>K7+L7</f>
        <v>862.55600000000004</v>
      </c>
      <c r="K7" s="309">
        <v>240.02699999999999</v>
      </c>
      <c r="L7" s="309">
        <v>622.529</v>
      </c>
      <c r="M7" s="313">
        <v>880.78647000000012</v>
      </c>
      <c r="N7" s="314">
        <v>242.62530000000001</v>
      </c>
      <c r="O7" s="317">
        <v>638.16117000000008</v>
      </c>
      <c r="P7" s="327">
        <f>M7/F7</f>
        <v>110.09830875000002</v>
      </c>
    </row>
    <row r="8" spans="1:16" s="117" customFormat="1">
      <c r="A8" s="302">
        <f>A7+1</f>
        <v>2</v>
      </c>
      <c r="B8" s="116" t="s">
        <v>74</v>
      </c>
      <c r="C8" s="116" t="s">
        <v>35</v>
      </c>
      <c r="D8" s="145">
        <v>24</v>
      </c>
      <c r="E8" s="145" t="s">
        <v>18</v>
      </c>
      <c r="F8" s="303">
        <f>[3]МКД!$H$98</f>
        <v>20</v>
      </c>
      <c r="G8" s="307">
        <f>H8+I8</f>
        <v>1698.96</v>
      </c>
      <c r="H8" s="307">
        <v>465.64699999999999</v>
      </c>
      <c r="I8" s="307">
        <v>1233.3130000000001</v>
      </c>
      <c r="J8" s="308">
        <f>K8+L8</f>
        <v>1826.6659999999999</v>
      </c>
      <c r="K8" s="309">
        <v>478.52100000000002</v>
      </c>
      <c r="L8" s="309">
        <v>1348.145</v>
      </c>
      <c r="M8" s="313">
        <v>1886.91228</v>
      </c>
      <c r="N8" s="314">
        <v>497.37227999999999</v>
      </c>
      <c r="O8" s="317">
        <v>1389.54</v>
      </c>
      <c r="P8" s="319">
        <f>M8/F8</f>
        <v>94.345613999999998</v>
      </c>
    </row>
    <row r="9" spans="1:16" s="117" customFormat="1">
      <c r="A9" s="302">
        <f t="shared" ref="A9:A72" si="0">A8+1</f>
        <v>3</v>
      </c>
      <c r="B9" s="116" t="s">
        <v>74</v>
      </c>
      <c r="C9" s="116" t="s">
        <v>87</v>
      </c>
      <c r="D9" s="145">
        <v>16</v>
      </c>
      <c r="E9" s="145"/>
      <c r="F9" s="303">
        <f>[3]МКД!$H$126</f>
        <v>12</v>
      </c>
      <c r="G9" s="307">
        <f>H9+I9</f>
        <v>942.99799999999993</v>
      </c>
      <c r="H9" s="307">
        <v>355.56299999999999</v>
      </c>
      <c r="I9" s="307">
        <v>587.43499999999995</v>
      </c>
      <c r="J9" s="308">
        <f>K9+L9</f>
        <v>1020.8910000000001</v>
      </c>
      <c r="K9" s="309">
        <v>381.92</v>
      </c>
      <c r="L9" s="309">
        <v>638.971</v>
      </c>
      <c r="M9" s="313">
        <v>1027.0965000000001</v>
      </c>
      <c r="N9" s="314">
        <v>390.64489000000003</v>
      </c>
      <c r="O9" s="317">
        <v>636.45161000000007</v>
      </c>
      <c r="P9" s="319">
        <f>M9/F9</f>
        <v>85.591375000000014</v>
      </c>
    </row>
    <row r="10" spans="1:16" s="117" customFormat="1">
      <c r="A10" s="302">
        <f t="shared" si="0"/>
        <v>4</v>
      </c>
      <c r="B10" s="116" t="s">
        <v>74</v>
      </c>
      <c r="C10" s="116" t="s">
        <v>86</v>
      </c>
      <c r="D10" s="145">
        <v>37</v>
      </c>
      <c r="E10" s="145"/>
      <c r="F10" s="303">
        <f>[3]МКД!$H$117</f>
        <v>15</v>
      </c>
      <c r="G10" s="307">
        <f>H10+I10</f>
        <v>1374.873</v>
      </c>
      <c r="H10" s="307">
        <v>495.947</v>
      </c>
      <c r="I10" s="307">
        <v>878.92600000000004</v>
      </c>
      <c r="J10" s="308">
        <f>K10+L10</f>
        <v>1277.4760000000001</v>
      </c>
      <c r="K10" s="309">
        <v>493.26100000000002</v>
      </c>
      <c r="L10" s="309">
        <v>784.21500000000003</v>
      </c>
      <c r="M10" s="313">
        <v>1273.12689</v>
      </c>
      <c r="N10" s="314">
        <v>507.49385000000001</v>
      </c>
      <c r="O10" s="317">
        <v>765.63304000000005</v>
      </c>
      <c r="P10" s="319">
        <f>M10/F10</f>
        <v>84.875125999999995</v>
      </c>
    </row>
    <row r="11" spans="1:16" s="117" customFormat="1">
      <c r="A11" s="302">
        <f t="shared" si="0"/>
        <v>5</v>
      </c>
      <c r="B11" s="116" t="s">
        <v>74</v>
      </c>
      <c r="C11" s="116" t="s">
        <v>16</v>
      </c>
      <c r="D11" s="145">
        <v>28</v>
      </c>
      <c r="E11" s="145"/>
      <c r="F11" s="303">
        <f>[2]МКД!$H$49</f>
        <v>8</v>
      </c>
      <c r="G11" s="307">
        <f>H11+I11</f>
        <v>617.31299999999999</v>
      </c>
      <c r="H11" s="307">
        <v>107.348</v>
      </c>
      <c r="I11" s="307">
        <v>509.96499999999997</v>
      </c>
      <c r="J11" s="308">
        <f>K11+L11</f>
        <v>618.19899999999996</v>
      </c>
      <c r="K11" s="309">
        <v>109.261</v>
      </c>
      <c r="L11" s="309">
        <v>508.93799999999999</v>
      </c>
      <c r="M11" s="313">
        <v>649.16678000000002</v>
      </c>
      <c r="N11" s="314">
        <v>115.09486</v>
      </c>
      <c r="O11" s="317">
        <v>534.07191999999998</v>
      </c>
      <c r="P11" s="319">
        <f>M11/F11</f>
        <v>81.145847500000002</v>
      </c>
    </row>
    <row r="12" spans="1:16" s="117" customFormat="1">
      <c r="A12" s="302">
        <f t="shared" si="0"/>
        <v>6</v>
      </c>
      <c r="B12" s="116" t="s">
        <v>74</v>
      </c>
      <c r="C12" s="116" t="s">
        <v>94</v>
      </c>
      <c r="D12" s="145">
        <v>36</v>
      </c>
      <c r="E12" s="145" t="s">
        <v>17</v>
      </c>
      <c r="F12" s="303">
        <f>[3]МКД!$H$151</f>
        <v>12</v>
      </c>
      <c r="G12" s="307">
        <f>H12+I12</f>
        <v>904.22</v>
      </c>
      <c r="H12" s="307">
        <v>456.44499999999999</v>
      </c>
      <c r="I12" s="307">
        <v>447.77499999999998</v>
      </c>
      <c r="J12" s="308">
        <f>K12+L12</f>
        <v>980.10300000000007</v>
      </c>
      <c r="K12" s="309">
        <v>485.98</v>
      </c>
      <c r="L12" s="309">
        <v>494.12299999999999</v>
      </c>
      <c r="M12" s="313">
        <v>966.41263000000004</v>
      </c>
      <c r="N12" s="314">
        <v>487.12667999999996</v>
      </c>
      <c r="O12" s="317">
        <v>479.28595000000001</v>
      </c>
      <c r="P12" s="319">
        <f>M12/F12</f>
        <v>80.534385833333332</v>
      </c>
    </row>
    <row r="13" spans="1:16" s="117" customFormat="1">
      <c r="A13" s="302">
        <f t="shared" si="0"/>
        <v>7</v>
      </c>
      <c r="B13" s="116" t="s">
        <v>74</v>
      </c>
      <c r="C13" s="116" t="s">
        <v>94</v>
      </c>
      <c r="D13" s="145">
        <v>41</v>
      </c>
      <c r="E13" s="145" t="s">
        <v>18</v>
      </c>
      <c r="F13" s="303">
        <f>[3]МКД!$H$154</f>
        <v>12</v>
      </c>
      <c r="G13" s="307">
        <f>H13+I13</f>
        <v>771.47500000000002</v>
      </c>
      <c r="H13" s="307">
        <v>225.851</v>
      </c>
      <c r="I13" s="307">
        <v>545.62400000000002</v>
      </c>
      <c r="J13" s="308">
        <f>K13+L13</f>
        <v>839.70600000000002</v>
      </c>
      <c r="K13" s="309">
        <v>242.20699999999999</v>
      </c>
      <c r="L13" s="309">
        <v>597.49900000000002</v>
      </c>
      <c r="M13" s="313">
        <v>846.11429999999996</v>
      </c>
      <c r="N13" s="314">
        <v>253.84231</v>
      </c>
      <c r="O13" s="317">
        <v>592.27198999999996</v>
      </c>
      <c r="P13" s="319">
        <f>M13/F13</f>
        <v>70.509524999999996</v>
      </c>
    </row>
    <row r="14" spans="1:16" s="117" customFormat="1">
      <c r="A14" s="302">
        <f t="shared" si="0"/>
        <v>8</v>
      </c>
      <c r="B14" s="116" t="s">
        <v>74</v>
      </c>
      <c r="C14" s="116" t="s">
        <v>86</v>
      </c>
      <c r="D14" s="145">
        <v>27</v>
      </c>
      <c r="E14" s="145"/>
      <c r="F14" s="303">
        <f>[3]МКД!$H$112</f>
        <v>12</v>
      </c>
      <c r="G14" s="307">
        <f>H14+I14</f>
        <v>904.29399999999998</v>
      </c>
      <c r="H14" s="307">
        <v>222.477</v>
      </c>
      <c r="I14" s="307">
        <v>681.81700000000001</v>
      </c>
      <c r="J14" s="308">
        <f>K14+L14</f>
        <v>777.64499999999998</v>
      </c>
      <c r="K14" s="309">
        <v>237.18700000000001</v>
      </c>
      <c r="L14" s="309">
        <v>540.45799999999997</v>
      </c>
      <c r="M14" s="313">
        <v>789.00794000000008</v>
      </c>
      <c r="N14" s="314">
        <v>237.68794</v>
      </c>
      <c r="O14" s="317">
        <v>551.32000000000005</v>
      </c>
      <c r="P14" s="319">
        <f>M14/F14</f>
        <v>65.750661666666673</v>
      </c>
    </row>
    <row r="15" spans="1:16" s="117" customFormat="1">
      <c r="A15" s="302">
        <f t="shared" si="0"/>
        <v>9</v>
      </c>
      <c r="B15" s="116" t="s">
        <v>74</v>
      </c>
      <c r="C15" s="321" t="s">
        <v>19</v>
      </c>
      <c r="D15" s="322">
        <v>10</v>
      </c>
      <c r="E15" s="322"/>
      <c r="F15" s="323">
        <f>[2]МКД!$H$32</f>
        <v>72</v>
      </c>
      <c r="G15" s="307">
        <f>H15+I15</f>
        <v>3863.2138000000004</v>
      </c>
      <c r="H15" s="307">
        <v>1389.8938000000001</v>
      </c>
      <c r="I15" s="307">
        <v>2473.3200000000002</v>
      </c>
      <c r="J15" s="308">
        <f>K15+L15</f>
        <v>4003.8275999999996</v>
      </c>
      <c r="K15" s="309">
        <v>1348.7619999999999</v>
      </c>
      <c r="L15" s="309">
        <v>2655.0655999999999</v>
      </c>
      <c r="M15" s="324">
        <v>4103.8296099999998</v>
      </c>
      <c r="N15" s="325">
        <v>1318.7096099999999</v>
      </c>
      <c r="O15" s="326">
        <v>2785.12</v>
      </c>
      <c r="P15" s="319">
        <f>M15/F15</f>
        <v>56.997633472222219</v>
      </c>
    </row>
    <row r="16" spans="1:16" s="117" customFormat="1">
      <c r="A16" s="302">
        <f t="shared" si="0"/>
        <v>10</v>
      </c>
      <c r="B16" s="116" t="s">
        <v>74</v>
      </c>
      <c r="C16" s="116" t="s">
        <v>53</v>
      </c>
      <c r="D16" s="145">
        <v>13</v>
      </c>
      <c r="E16" s="145"/>
      <c r="F16" s="303">
        <f>[3]МКД!$H$86</f>
        <v>12</v>
      </c>
      <c r="G16" s="307">
        <f>H16+I16</f>
        <v>703.71900000000005</v>
      </c>
      <c r="H16" s="307">
        <v>208.06800000000001</v>
      </c>
      <c r="I16" s="307">
        <v>495.65100000000001</v>
      </c>
      <c r="J16" s="308">
        <f>K16+L16</f>
        <v>689.351</v>
      </c>
      <c r="K16" s="309">
        <v>194.58</v>
      </c>
      <c r="L16" s="309">
        <v>494.77100000000002</v>
      </c>
      <c r="M16" s="313">
        <v>673.45902999999998</v>
      </c>
      <c r="N16" s="314">
        <v>188.92376000000002</v>
      </c>
      <c r="O16" s="317">
        <v>484.53526999999997</v>
      </c>
      <c r="P16" s="319">
        <f>M16/F16</f>
        <v>56.121585833333334</v>
      </c>
    </row>
    <row r="17" spans="1:16" s="117" customFormat="1">
      <c r="A17" s="302">
        <f t="shared" si="0"/>
        <v>11</v>
      </c>
      <c r="B17" s="116" t="s">
        <v>74</v>
      </c>
      <c r="C17" s="116" t="s">
        <v>71</v>
      </c>
      <c r="D17" s="145">
        <v>3</v>
      </c>
      <c r="E17" s="145"/>
      <c r="F17" s="303">
        <f>[3]МКД!$H$89</f>
        <v>12</v>
      </c>
      <c r="G17" s="307">
        <f>H17+I17</f>
        <v>609.63599999999997</v>
      </c>
      <c r="H17" s="307">
        <v>285.14600000000002</v>
      </c>
      <c r="I17" s="307">
        <v>324.49</v>
      </c>
      <c r="J17" s="308">
        <f>K17+L17</f>
        <v>641.28399999999999</v>
      </c>
      <c r="K17" s="309">
        <v>299.45400000000001</v>
      </c>
      <c r="L17" s="309">
        <v>341.83</v>
      </c>
      <c r="M17" s="313">
        <v>666.76000999999997</v>
      </c>
      <c r="N17" s="314">
        <v>309.74569000000002</v>
      </c>
      <c r="O17" s="317">
        <v>357.01432</v>
      </c>
      <c r="P17" s="319">
        <f>M17/F17</f>
        <v>55.563334166666664</v>
      </c>
    </row>
    <row r="18" spans="1:16" s="117" customFormat="1">
      <c r="A18" s="302">
        <f t="shared" si="0"/>
        <v>12</v>
      </c>
      <c r="B18" s="116" t="s">
        <v>74</v>
      </c>
      <c r="C18" s="116" t="s">
        <v>86</v>
      </c>
      <c r="D18" s="145">
        <v>33</v>
      </c>
      <c r="E18" s="145"/>
      <c r="F18" s="303">
        <f>[3]МКД!$H$115</f>
        <v>18</v>
      </c>
      <c r="G18" s="307">
        <f>H18+I18</f>
        <v>844.38199999999995</v>
      </c>
      <c r="H18" s="307">
        <v>254.67400000000001</v>
      </c>
      <c r="I18" s="307">
        <v>589.70799999999997</v>
      </c>
      <c r="J18" s="308">
        <f>K18+L18</f>
        <v>916.23800000000006</v>
      </c>
      <c r="K18" s="309">
        <v>274.04000000000002</v>
      </c>
      <c r="L18" s="309">
        <v>642.19799999999998</v>
      </c>
      <c r="M18" s="313">
        <v>958.91562999999996</v>
      </c>
      <c r="N18" s="314">
        <v>291.96911999999998</v>
      </c>
      <c r="O18" s="317">
        <v>666.94650999999999</v>
      </c>
      <c r="P18" s="319">
        <f>M18/F18</f>
        <v>53.273090555555555</v>
      </c>
    </row>
    <row r="19" spans="1:16" s="117" customFormat="1">
      <c r="A19" s="302">
        <f t="shared" si="0"/>
        <v>13</v>
      </c>
      <c r="B19" s="116" t="s">
        <v>74</v>
      </c>
      <c r="C19" s="116" t="s">
        <v>92</v>
      </c>
      <c r="D19" s="145">
        <v>11</v>
      </c>
      <c r="E19" s="145"/>
      <c r="F19" s="303">
        <f>[3]МКД!$H$143</f>
        <v>12</v>
      </c>
      <c r="G19" s="307">
        <f>H19+I19</f>
        <v>574.52099999999996</v>
      </c>
      <c r="H19" s="307">
        <v>169.648</v>
      </c>
      <c r="I19" s="307">
        <v>404.87299999999999</v>
      </c>
      <c r="J19" s="308">
        <f>K19+L19</f>
        <v>592.73400000000004</v>
      </c>
      <c r="K19" s="309">
        <v>156.36500000000001</v>
      </c>
      <c r="L19" s="309">
        <v>436.36900000000003</v>
      </c>
      <c r="M19" s="313">
        <v>612.18664000000001</v>
      </c>
      <c r="N19" s="314">
        <v>171.59832</v>
      </c>
      <c r="O19" s="317">
        <v>440.58832000000001</v>
      </c>
      <c r="P19" s="319">
        <f>M19/F19</f>
        <v>51.015553333333337</v>
      </c>
    </row>
    <row r="20" spans="1:16" s="117" customFormat="1">
      <c r="A20" s="302">
        <f t="shared" si="0"/>
        <v>14</v>
      </c>
      <c r="B20" s="116" t="s">
        <v>74</v>
      </c>
      <c r="C20" s="116" t="s">
        <v>86</v>
      </c>
      <c r="D20" s="145">
        <v>21</v>
      </c>
      <c r="E20" s="145" t="s">
        <v>18</v>
      </c>
      <c r="F20" s="303">
        <f>[3]МКД!$H$110</f>
        <v>12</v>
      </c>
      <c r="G20" s="307">
        <f>H20+I20</f>
        <v>589.23900000000003</v>
      </c>
      <c r="H20" s="307">
        <v>222.41900000000001</v>
      </c>
      <c r="I20" s="307">
        <v>366.82</v>
      </c>
      <c r="J20" s="308">
        <f>K20+L20</f>
        <v>624.23799999999994</v>
      </c>
      <c r="K20" s="309">
        <v>238.83799999999999</v>
      </c>
      <c r="L20" s="309">
        <v>385.4</v>
      </c>
      <c r="M20" s="313">
        <v>609.82979</v>
      </c>
      <c r="N20" s="314">
        <v>227.35480999999999</v>
      </c>
      <c r="O20" s="317">
        <v>382.47497999999996</v>
      </c>
      <c r="P20" s="319">
        <f>M20/F20</f>
        <v>50.819149166666669</v>
      </c>
    </row>
    <row r="21" spans="1:16" s="117" customFormat="1">
      <c r="A21" s="302">
        <f t="shared" si="0"/>
        <v>15</v>
      </c>
      <c r="B21" s="116" t="s">
        <v>74</v>
      </c>
      <c r="C21" s="116" t="s">
        <v>21</v>
      </c>
      <c r="D21" s="145">
        <v>3</v>
      </c>
      <c r="E21" s="145"/>
      <c r="F21" s="303">
        <f>[2]МКД!$H$26</f>
        <v>5</v>
      </c>
      <c r="G21" s="307">
        <f>H21+I21</f>
        <v>233.86399999999998</v>
      </c>
      <c r="H21" s="307">
        <v>88.347999999999999</v>
      </c>
      <c r="I21" s="307">
        <v>145.51599999999999</v>
      </c>
      <c r="J21" s="308">
        <f>K21+L21</f>
        <v>237.702</v>
      </c>
      <c r="K21" s="309">
        <v>92.819000000000003</v>
      </c>
      <c r="L21" s="309">
        <v>144.88300000000001</v>
      </c>
      <c r="M21" s="313">
        <v>248.64787999999999</v>
      </c>
      <c r="N21" s="314">
        <v>93.126480000000001</v>
      </c>
      <c r="O21" s="317">
        <v>155.5214</v>
      </c>
      <c r="P21" s="319">
        <f>M21/F21</f>
        <v>49.729575999999994</v>
      </c>
    </row>
    <row r="22" spans="1:16" s="117" customFormat="1">
      <c r="A22" s="302">
        <f t="shared" si="0"/>
        <v>16</v>
      </c>
      <c r="B22" s="116" t="s">
        <v>74</v>
      </c>
      <c r="C22" s="116" t="s">
        <v>34</v>
      </c>
      <c r="D22" s="145">
        <v>11</v>
      </c>
      <c r="E22" s="145"/>
      <c r="F22" s="303">
        <f>[3]МКД!$H$80</f>
        <v>12</v>
      </c>
      <c r="G22" s="307">
        <f>H22+I22</f>
        <v>761.93720000000008</v>
      </c>
      <c r="H22" s="307">
        <v>244.6112</v>
      </c>
      <c r="I22" s="307">
        <v>517.32600000000002</v>
      </c>
      <c r="J22" s="308">
        <f>K22+L22</f>
        <v>578.48700000000008</v>
      </c>
      <c r="K22" s="309">
        <v>183.315</v>
      </c>
      <c r="L22" s="309">
        <v>395.17200000000003</v>
      </c>
      <c r="M22" s="313">
        <v>590.35328000000004</v>
      </c>
      <c r="N22" s="314">
        <v>193.50327999999999</v>
      </c>
      <c r="O22" s="317">
        <v>396.85</v>
      </c>
      <c r="P22" s="319">
        <f>M22/F22</f>
        <v>49.196106666666672</v>
      </c>
    </row>
    <row r="23" spans="1:16" s="117" customFormat="1">
      <c r="A23" s="302">
        <f t="shared" si="0"/>
        <v>17</v>
      </c>
      <c r="B23" s="116" t="s">
        <v>74</v>
      </c>
      <c r="C23" s="116" t="s">
        <v>86</v>
      </c>
      <c r="D23" s="145">
        <v>39</v>
      </c>
      <c r="E23" s="145"/>
      <c r="F23" s="303">
        <f>[3]МКД!$H$119</f>
        <v>18</v>
      </c>
      <c r="G23" s="307">
        <f>H23+I23</f>
        <v>825.62100000000009</v>
      </c>
      <c r="H23" s="307">
        <v>279.81900000000002</v>
      </c>
      <c r="I23" s="307">
        <v>545.80200000000002</v>
      </c>
      <c r="J23" s="308">
        <f>K23+L23</f>
        <v>862.09799999999996</v>
      </c>
      <c r="K23" s="309">
        <v>300.75700000000001</v>
      </c>
      <c r="L23" s="309">
        <v>561.34100000000001</v>
      </c>
      <c r="M23" s="313">
        <v>870.19605000000001</v>
      </c>
      <c r="N23" s="314">
        <v>302.52402000000001</v>
      </c>
      <c r="O23" s="317">
        <v>567.67203000000006</v>
      </c>
      <c r="P23" s="319">
        <f>M23/F23</f>
        <v>48.344225000000002</v>
      </c>
    </row>
    <row r="24" spans="1:16" s="117" customFormat="1">
      <c r="A24" s="302">
        <f t="shared" si="0"/>
        <v>18</v>
      </c>
      <c r="B24" s="116" t="s">
        <v>74</v>
      </c>
      <c r="C24" s="116" t="s">
        <v>94</v>
      </c>
      <c r="D24" s="145">
        <v>44</v>
      </c>
      <c r="E24" s="145"/>
      <c r="F24" s="303">
        <f>[3]МКД!$H$157</f>
        <v>12</v>
      </c>
      <c r="G24" s="307">
        <f>H24+I24</f>
        <v>502.584</v>
      </c>
      <c r="H24" s="307">
        <v>188.83699999999999</v>
      </c>
      <c r="I24" s="307">
        <v>313.74700000000001</v>
      </c>
      <c r="J24" s="308">
        <f>K24+L24</f>
        <v>545.52300000000002</v>
      </c>
      <c r="K24" s="309">
        <v>203.79</v>
      </c>
      <c r="L24" s="309">
        <v>341.733</v>
      </c>
      <c r="M24" s="313">
        <v>578.66768999999999</v>
      </c>
      <c r="N24" s="314">
        <v>209.08769000000001</v>
      </c>
      <c r="O24" s="317">
        <v>369.58</v>
      </c>
      <c r="P24" s="319">
        <f>M24/F24</f>
        <v>48.222307499999999</v>
      </c>
    </row>
    <row r="25" spans="1:16" s="117" customFormat="1">
      <c r="A25" s="302">
        <f t="shared" si="0"/>
        <v>19</v>
      </c>
      <c r="B25" s="116" t="s">
        <v>74</v>
      </c>
      <c r="C25" s="116" t="s">
        <v>90</v>
      </c>
      <c r="D25" s="145">
        <v>9</v>
      </c>
      <c r="E25" s="145" t="s">
        <v>18</v>
      </c>
      <c r="F25" s="303">
        <f>[3]МКД!$H$138</f>
        <v>30</v>
      </c>
      <c r="G25" s="307">
        <f>H25+I25</f>
        <v>1197.5720000000001</v>
      </c>
      <c r="H25" s="307">
        <v>309.57799999999997</v>
      </c>
      <c r="I25" s="307">
        <v>887.99400000000003</v>
      </c>
      <c r="J25" s="308">
        <f>K25+L25</f>
        <v>1328.7809999999999</v>
      </c>
      <c r="K25" s="309">
        <v>348.58199999999999</v>
      </c>
      <c r="L25" s="309">
        <v>980.19899999999996</v>
      </c>
      <c r="M25" s="313">
        <v>1443.3284200000001</v>
      </c>
      <c r="N25" s="314">
        <v>359.09842000000003</v>
      </c>
      <c r="O25" s="317">
        <v>1084.23</v>
      </c>
      <c r="P25" s="319">
        <f>M25/F25</f>
        <v>48.110947333333336</v>
      </c>
    </row>
    <row r="26" spans="1:16" s="117" customFormat="1">
      <c r="A26" s="302">
        <f t="shared" si="0"/>
        <v>20</v>
      </c>
      <c r="B26" s="116" t="s">
        <v>74</v>
      </c>
      <c r="C26" s="116" t="s">
        <v>84</v>
      </c>
      <c r="D26" s="145">
        <v>6</v>
      </c>
      <c r="E26" s="145"/>
      <c r="F26" s="303">
        <f>[2]МКД!$H$64</f>
        <v>12</v>
      </c>
      <c r="G26" s="307">
        <f>H26+I26</f>
        <v>521.10199999999998</v>
      </c>
      <c r="H26" s="307">
        <v>145.49600000000001</v>
      </c>
      <c r="I26" s="307">
        <v>375.60599999999999</v>
      </c>
      <c r="J26" s="308">
        <f>K26+L26</f>
        <v>547.85799999999995</v>
      </c>
      <c r="K26" s="309">
        <v>154.71199999999999</v>
      </c>
      <c r="L26" s="309">
        <v>393.14600000000002</v>
      </c>
      <c r="M26" s="313">
        <v>572.74521000000004</v>
      </c>
      <c r="N26" s="314">
        <v>157.72185999999999</v>
      </c>
      <c r="O26" s="317">
        <v>415.02334999999999</v>
      </c>
      <c r="P26" s="319">
        <f>M26/F26</f>
        <v>47.728767500000004</v>
      </c>
    </row>
    <row r="27" spans="1:16" s="117" customFormat="1">
      <c r="A27" s="302">
        <f t="shared" si="0"/>
        <v>21</v>
      </c>
      <c r="B27" s="116" t="s">
        <v>74</v>
      </c>
      <c r="C27" s="116" t="s">
        <v>34</v>
      </c>
      <c r="D27" s="145">
        <v>7</v>
      </c>
      <c r="E27" s="145"/>
      <c r="F27" s="303">
        <f>[3]МКД!$H$77</f>
        <v>4</v>
      </c>
      <c r="G27" s="307">
        <f>H27+I27</f>
        <v>174.24199999999999</v>
      </c>
      <c r="H27" s="307">
        <v>54.835000000000001</v>
      </c>
      <c r="I27" s="307">
        <v>119.407</v>
      </c>
      <c r="J27" s="308">
        <f>K27+L27</f>
        <v>171.346</v>
      </c>
      <c r="K27" s="309">
        <v>55.298000000000002</v>
      </c>
      <c r="L27" s="309">
        <v>116.048</v>
      </c>
      <c r="M27" s="313">
        <v>182.9752</v>
      </c>
      <c r="N27" s="314">
        <v>57.796559999999999</v>
      </c>
      <c r="O27" s="317">
        <v>125.17864</v>
      </c>
      <c r="P27" s="319">
        <f>M27/F27</f>
        <v>45.7438</v>
      </c>
    </row>
    <row r="28" spans="1:16" s="117" customFormat="1">
      <c r="A28" s="302">
        <f t="shared" si="0"/>
        <v>22</v>
      </c>
      <c r="B28" s="116" t="s">
        <v>74</v>
      </c>
      <c r="C28" s="116" t="s">
        <v>94</v>
      </c>
      <c r="D28" s="145">
        <v>20</v>
      </c>
      <c r="E28" s="145"/>
      <c r="F28" s="303">
        <f>[3]МКД!$H$147</f>
        <v>12</v>
      </c>
      <c r="G28" s="307">
        <f>H28+I28</f>
        <v>477.39300000000003</v>
      </c>
      <c r="H28" s="307">
        <v>154.60499999999999</v>
      </c>
      <c r="I28" s="307">
        <v>322.78800000000001</v>
      </c>
      <c r="J28" s="308">
        <f>K28+L28</f>
        <v>521.71</v>
      </c>
      <c r="K28" s="309">
        <v>172.15799999999999</v>
      </c>
      <c r="L28" s="309">
        <v>349.55200000000002</v>
      </c>
      <c r="M28" s="313">
        <v>526.49923000000001</v>
      </c>
      <c r="N28" s="314">
        <v>177.60754</v>
      </c>
      <c r="O28" s="317">
        <v>348.89168999999998</v>
      </c>
      <c r="P28" s="319">
        <f>M28/F28</f>
        <v>43.874935833333332</v>
      </c>
    </row>
    <row r="29" spans="1:16" s="117" customFormat="1">
      <c r="A29" s="302">
        <f t="shared" si="0"/>
        <v>23</v>
      </c>
      <c r="B29" s="116" t="s">
        <v>74</v>
      </c>
      <c r="C29" s="116" t="s">
        <v>86</v>
      </c>
      <c r="D29" s="145">
        <v>41</v>
      </c>
      <c r="E29" s="145"/>
      <c r="F29" s="303">
        <f>[3]МКД!$H$120</f>
        <v>18</v>
      </c>
      <c r="G29" s="307">
        <f>H29+I29</f>
        <v>776.55399999999997</v>
      </c>
      <c r="H29" s="307">
        <v>255.20099999999999</v>
      </c>
      <c r="I29" s="307">
        <v>521.35299999999995</v>
      </c>
      <c r="J29" s="308">
        <f>K29+L29</f>
        <v>748.17399999999998</v>
      </c>
      <c r="K29" s="309">
        <v>266.71899999999999</v>
      </c>
      <c r="L29" s="309">
        <v>481.45499999999998</v>
      </c>
      <c r="M29" s="313">
        <v>786.76547000000005</v>
      </c>
      <c r="N29" s="314">
        <v>279.15129999999999</v>
      </c>
      <c r="O29" s="317">
        <v>507.61417</v>
      </c>
      <c r="P29" s="319">
        <f>M29/F29</f>
        <v>43.70919277777778</v>
      </c>
    </row>
    <row r="30" spans="1:16" s="117" customFormat="1">
      <c r="A30" s="302">
        <f t="shared" si="0"/>
        <v>24</v>
      </c>
      <c r="B30" s="116" t="s">
        <v>74</v>
      </c>
      <c r="C30" s="116" t="s">
        <v>94</v>
      </c>
      <c r="D30" s="145">
        <v>22</v>
      </c>
      <c r="E30" s="145"/>
      <c r="F30" s="303">
        <f>[3]МКД!$H$148</f>
        <v>12</v>
      </c>
      <c r="G30" s="307">
        <f>H30+I30</f>
        <v>484.93</v>
      </c>
      <c r="H30" s="307">
        <v>181.04300000000001</v>
      </c>
      <c r="I30" s="307">
        <v>303.887</v>
      </c>
      <c r="J30" s="308">
        <f>K30+L30</f>
        <v>533.59799999999996</v>
      </c>
      <c r="K30" s="309">
        <v>190.50899999999999</v>
      </c>
      <c r="L30" s="309">
        <v>343.089</v>
      </c>
      <c r="M30" s="313">
        <v>511.41612000000003</v>
      </c>
      <c r="N30" s="314">
        <v>196.95830000000001</v>
      </c>
      <c r="O30" s="317">
        <v>314.45782000000003</v>
      </c>
      <c r="P30" s="319">
        <f>M30/F30</f>
        <v>42.618010000000005</v>
      </c>
    </row>
    <row r="31" spans="1:16" s="117" customFormat="1">
      <c r="A31" s="302">
        <f t="shared" si="0"/>
        <v>25</v>
      </c>
      <c r="B31" s="116" t="s">
        <v>74</v>
      </c>
      <c r="C31" s="116" t="s">
        <v>94</v>
      </c>
      <c r="D31" s="145">
        <v>39</v>
      </c>
      <c r="E31" s="145"/>
      <c r="F31" s="303">
        <f>[3]МКД!$H$152</f>
        <v>12</v>
      </c>
      <c r="G31" s="307">
        <f>H31+I31</f>
        <v>453.49199999999996</v>
      </c>
      <c r="H31" s="307">
        <v>192.095</v>
      </c>
      <c r="I31" s="307">
        <v>261.39699999999999</v>
      </c>
      <c r="J31" s="308">
        <f>K31+L31</f>
        <v>460.53</v>
      </c>
      <c r="K31" s="309">
        <v>202.2</v>
      </c>
      <c r="L31" s="309">
        <v>258.33</v>
      </c>
      <c r="M31" s="313">
        <v>492.62151999999998</v>
      </c>
      <c r="N31" s="314">
        <v>215.95220999999998</v>
      </c>
      <c r="O31" s="317">
        <v>276.66931</v>
      </c>
      <c r="P31" s="319">
        <f>M31/F31</f>
        <v>41.051793333333329</v>
      </c>
    </row>
    <row r="32" spans="1:16" s="117" customFormat="1">
      <c r="A32" s="302">
        <f t="shared" si="0"/>
        <v>26</v>
      </c>
      <c r="B32" s="116" t="s">
        <v>74</v>
      </c>
      <c r="C32" s="116" t="s">
        <v>71</v>
      </c>
      <c r="D32" s="145">
        <v>1</v>
      </c>
      <c r="E32" s="145"/>
      <c r="F32" s="303">
        <f>[3]МКД!$H$87</f>
        <v>10</v>
      </c>
      <c r="G32" s="307">
        <f>H32+I32</f>
        <v>405.89099999999996</v>
      </c>
      <c r="H32" s="307">
        <v>159.655</v>
      </c>
      <c r="I32" s="307">
        <v>246.23599999999999</v>
      </c>
      <c r="J32" s="308">
        <f>K32+L32</f>
        <v>416.24799999999999</v>
      </c>
      <c r="K32" s="309">
        <v>165.72399999999999</v>
      </c>
      <c r="L32" s="309">
        <v>250.524</v>
      </c>
      <c r="M32" s="313">
        <v>410.43347</v>
      </c>
      <c r="N32" s="314">
        <v>150.32729</v>
      </c>
      <c r="O32" s="317">
        <v>260.10617999999999</v>
      </c>
      <c r="P32" s="319">
        <f>M32/F32</f>
        <v>41.043346999999997</v>
      </c>
    </row>
    <row r="33" spans="1:16" s="117" customFormat="1">
      <c r="A33" s="302">
        <f t="shared" si="0"/>
        <v>27</v>
      </c>
      <c r="B33" s="116" t="s">
        <v>74</v>
      </c>
      <c r="C33" s="116" t="s">
        <v>77</v>
      </c>
      <c r="D33" s="145">
        <v>8</v>
      </c>
      <c r="E33" s="145"/>
      <c r="F33" s="303">
        <f>[2]МКД!$H$12</f>
        <v>12</v>
      </c>
      <c r="G33" s="307">
        <f>H33+I33</f>
        <v>450.89600000000002</v>
      </c>
      <c r="H33" s="307">
        <v>158</v>
      </c>
      <c r="I33" s="307">
        <v>292.89600000000002</v>
      </c>
      <c r="J33" s="308">
        <f>K33+L33</f>
        <v>472.58299999999997</v>
      </c>
      <c r="K33" s="309">
        <v>163.256</v>
      </c>
      <c r="L33" s="309">
        <v>309.327</v>
      </c>
      <c r="M33" s="313">
        <v>489.41174999999998</v>
      </c>
      <c r="N33" s="314">
        <v>167.08126999999999</v>
      </c>
      <c r="O33" s="317">
        <v>322.33047999999997</v>
      </c>
      <c r="P33" s="319">
        <f>M33/F33</f>
        <v>40.784312499999999</v>
      </c>
    </row>
    <row r="34" spans="1:16" s="117" customFormat="1">
      <c r="A34" s="302">
        <f t="shared" si="0"/>
        <v>28</v>
      </c>
      <c r="B34" s="116" t="s">
        <v>74</v>
      </c>
      <c r="C34" s="116" t="s">
        <v>86</v>
      </c>
      <c r="D34" s="145">
        <v>21</v>
      </c>
      <c r="E34" s="145" t="s">
        <v>17</v>
      </c>
      <c r="F34" s="303">
        <f>[3]МКД!$H$109</f>
        <v>12</v>
      </c>
      <c r="G34" s="307">
        <f>H34+I34</f>
        <v>433.536</v>
      </c>
      <c r="H34" s="307">
        <v>194.61600000000001</v>
      </c>
      <c r="I34" s="307">
        <v>238.92</v>
      </c>
      <c r="J34" s="308">
        <f>K34+L34</f>
        <v>473.75800000000004</v>
      </c>
      <c r="K34" s="309">
        <v>211.76300000000001</v>
      </c>
      <c r="L34" s="309">
        <v>261.995</v>
      </c>
      <c r="M34" s="313">
        <v>484.41919000000001</v>
      </c>
      <c r="N34" s="314">
        <v>216.96719000000002</v>
      </c>
      <c r="O34" s="317">
        <v>267.452</v>
      </c>
      <c r="P34" s="319">
        <f>M34/F34</f>
        <v>40.368265833333332</v>
      </c>
    </row>
    <row r="35" spans="1:16" s="117" customFormat="1">
      <c r="A35" s="302">
        <f t="shared" si="0"/>
        <v>29</v>
      </c>
      <c r="B35" s="116" t="s">
        <v>74</v>
      </c>
      <c r="C35" s="116" t="s">
        <v>35</v>
      </c>
      <c r="D35" s="145">
        <v>10</v>
      </c>
      <c r="E35" s="145"/>
      <c r="F35" s="303">
        <f>[3]МКД!$H$96</f>
        <v>8</v>
      </c>
      <c r="G35" s="307">
        <f>H35+I35</f>
        <v>273.05</v>
      </c>
      <c r="H35" s="307">
        <v>106.479</v>
      </c>
      <c r="I35" s="307">
        <v>166.571</v>
      </c>
      <c r="J35" s="308">
        <f>K35+L35</f>
        <v>291.83100000000002</v>
      </c>
      <c r="K35" s="309">
        <v>112.315</v>
      </c>
      <c r="L35" s="309">
        <v>179.51599999999999</v>
      </c>
      <c r="M35" s="313">
        <v>322.44073000000003</v>
      </c>
      <c r="N35" s="314">
        <v>122.57915</v>
      </c>
      <c r="O35" s="317">
        <v>199.86158</v>
      </c>
      <c r="P35" s="319">
        <f>M35/F35</f>
        <v>40.305091250000004</v>
      </c>
    </row>
    <row r="36" spans="1:16" s="117" customFormat="1">
      <c r="A36" s="302">
        <f t="shared" si="0"/>
        <v>30</v>
      </c>
      <c r="B36" s="116" t="s">
        <v>74</v>
      </c>
      <c r="C36" s="116" t="s">
        <v>34</v>
      </c>
      <c r="D36" s="145">
        <v>34</v>
      </c>
      <c r="E36" s="145"/>
      <c r="F36" s="303">
        <f>[3]МКД!$H$85</f>
        <v>12</v>
      </c>
      <c r="G36" s="307">
        <f>H36+I36</f>
        <v>424.32399999999996</v>
      </c>
      <c r="H36" s="307">
        <v>115.982</v>
      </c>
      <c r="I36" s="307">
        <v>308.34199999999998</v>
      </c>
      <c r="J36" s="308">
        <f>K36+L36</f>
        <v>449.73400000000004</v>
      </c>
      <c r="K36" s="309">
        <v>126.343</v>
      </c>
      <c r="L36" s="309">
        <v>323.39100000000002</v>
      </c>
      <c r="M36" s="313">
        <v>466.19886999999994</v>
      </c>
      <c r="N36" s="314">
        <v>118.91498</v>
      </c>
      <c r="O36" s="317">
        <v>347.28388999999993</v>
      </c>
      <c r="P36" s="319">
        <f>M36/F36</f>
        <v>38.849905833333331</v>
      </c>
    </row>
    <row r="37" spans="1:16" s="117" customFormat="1">
      <c r="A37" s="302">
        <f t="shared" si="0"/>
        <v>31</v>
      </c>
      <c r="B37" s="116" t="s">
        <v>74</v>
      </c>
      <c r="C37" s="116" t="s">
        <v>94</v>
      </c>
      <c r="D37" s="145">
        <v>26</v>
      </c>
      <c r="E37" s="145"/>
      <c r="F37" s="303">
        <f>[3]МКД!$H$149</f>
        <v>12</v>
      </c>
      <c r="G37" s="307">
        <f>H37+I37</f>
        <v>412.31799999999998</v>
      </c>
      <c r="H37" s="307">
        <v>112.565</v>
      </c>
      <c r="I37" s="307">
        <v>299.75299999999999</v>
      </c>
      <c r="J37" s="308">
        <f>K37+L37</f>
        <v>458.54900000000004</v>
      </c>
      <c r="K37" s="309">
        <v>131.32900000000001</v>
      </c>
      <c r="L37" s="309">
        <v>327.22000000000003</v>
      </c>
      <c r="M37" s="313">
        <v>465.74878999999999</v>
      </c>
      <c r="N37" s="314">
        <v>195.48430999999999</v>
      </c>
      <c r="O37" s="317">
        <v>270.26447999999999</v>
      </c>
      <c r="P37" s="319">
        <f>M37/F37</f>
        <v>38.812399166666665</v>
      </c>
    </row>
    <row r="38" spans="1:16" s="117" customFormat="1">
      <c r="A38" s="302">
        <f t="shared" si="0"/>
        <v>32</v>
      </c>
      <c r="B38" s="116" t="s">
        <v>74</v>
      </c>
      <c r="C38" s="116" t="s">
        <v>95</v>
      </c>
      <c r="D38" s="145">
        <v>3</v>
      </c>
      <c r="E38" s="145" t="s">
        <v>18</v>
      </c>
      <c r="F38" s="303">
        <f>[3]МКД!$H$163</f>
        <v>17</v>
      </c>
      <c r="G38" s="307">
        <f>H38+I38</f>
        <v>590.55600000000004</v>
      </c>
      <c r="H38" s="307">
        <v>321.31799999999998</v>
      </c>
      <c r="I38" s="307">
        <v>269.238</v>
      </c>
      <c r="J38" s="308">
        <f>K38+L38</f>
        <v>637.32300000000009</v>
      </c>
      <c r="K38" s="309">
        <v>337.98500000000001</v>
      </c>
      <c r="L38" s="309">
        <v>299.33800000000002</v>
      </c>
      <c r="M38" s="313">
        <v>646.65987999999993</v>
      </c>
      <c r="N38" s="314">
        <v>344.86750999999998</v>
      </c>
      <c r="O38" s="317">
        <v>301.79237000000001</v>
      </c>
      <c r="P38" s="319">
        <f>M38/F38</f>
        <v>38.03881647058823</v>
      </c>
    </row>
    <row r="39" spans="1:16" s="117" customFormat="1">
      <c r="A39" s="302">
        <f t="shared" si="0"/>
        <v>33</v>
      </c>
      <c r="B39" s="116" t="s">
        <v>74</v>
      </c>
      <c r="C39" s="116" t="s">
        <v>81</v>
      </c>
      <c r="D39" s="145">
        <v>8</v>
      </c>
      <c r="E39" s="145" t="s">
        <v>17</v>
      </c>
      <c r="F39" s="303">
        <f>[2]МКД!$H$39</f>
        <v>12</v>
      </c>
      <c r="G39" s="307">
        <f>H39+I39</f>
        <v>424.74599999999998</v>
      </c>
      <c r="H39" s="307">
        <v>131.059</v>
      </c>
      <c r="I39" s="307">
        <v>293.68700000000001</v>
      </c>
      <c r="J39" s="308">
        <f>K39+L39</f>
        <v>445.69100000000003</v>
      </c>
      <c r="K39" s="309">
        <v>134.42699999999999</v>
      </c>
      <c r="L39" s="309">
        <v>311.26400000000001</v>
      </c>
      <c r="M39" s="313">
        <v>451.38804999999991</v>
      </c>
      <c r="N39" s="314">
        <v>134.09072</v>
      </c>
      <c r="O39" s="317">
        <v>317.29732999999993</v>
      </c>
      <c r="P39" s="319">
        <f>M39/F39</f>
        <v>37.615670833333326</v>
      </c>
    </row>
    <row r="40" spans="1:16" s="117" customFormat="1">
      <c r="A40" s="302">
        <f t="shared" si="0"/>
        <v>34</v>
      </c>
      <c r="B40" s="116" t="s">
        <v>74</v>
      </c>
      <c r="C40" s="116" t="s">
        <v>21</v>
      </c>
      <c r="D40" s="145">
        <v>18</v>
      </c>
      <c r="E40" s="145"/>
      <c r="F40" s="303">
        <f>[2]МКД!$H$31</f>
        <v>33</v>
      </c>
      <c r="G40" s="307">
        <f>H40+I40</f>
        <v>1140.3150000000001</v>
      </c>
      <c r="H40" s="307">
        <v>410.72500000000002</v>
      </c>
      <c r="I40" s="307">
        <v>729.59</v>
      </c>
      <c r="J40" s="308">
        <f>K40+L40</f>
        <v>1163.03</v>
      </c>
      <c r="K40" s="309">
        <v>414.95</v>
      </c>
      <c r="L40" s="309">
        <v>748.08</v>
      </c>
      <c r="M40" s="313">
        <v>1235.96201</v>
      </c>
      <c r="N40" s="314">
        <v>437.45201000000003</v>
      </c>
      <c r="O40" s="317">
        <v>798.51</v>
      </c>
      <c r="P40" s="319">
        <f>M40/F40</f>
        <v>37.453394242424238</v>
      </c>
    </row>
    <row r="41" spans="1:16" s="117" customFormat="1">
      <c r="A41" s="302">
        <f t="shared" si="0"/>
        <v>35</v>
      </c>
      <c r="B41" s="116" t="s">
        <v>74</v>
      </c>
      <c r="C41" s="116" t="s">
        <v>32</v>
      </c>
      <c r="D41" s="145">
        <v>23</v>
      </c>
      <c r="E41" s="145"/>
      <c r="F41" s="303">
        <f>[2]МКД!$H$36</f>
        <v>12</v>
      </c>
      <c r="G41" s="307">
        <f>H41+I41</f>
        <v>499.733</v>
      </c>
      <c r="H41" s="307">
        <v>122.795</v>
      </c>
      <c r="I41" s="307">
        <v>376.93799999999999</v>
      </c>
      <c r="J41" s="308">
        <f>K41+L41</f>
        <v>521.19100000000003</v>
      </c>
      <c r="K41" s="309">
        <v>124.78700000000001</v>
      </c>
      <c r="L41" s="309">
        <v>396.404</v>
      </c>
      <c r="M41" s="313">
        <v>427.40953999999999</v>
      </c>
      <c r="N41" s="314">
        <v>98.877219999999994</v>
      </c>
      <c r="O41" s="317">
        <v>328.53232000000003</v>
      </c>
      <c r="P41" s="319">
        <f>M41/F41</f>
        <v>35.617461666666664</v>
      </c>
    </row>
    <row r="42" spans="1:16" s="117" customFormat="1">
      <c r="A42" s="302">
        <f t="shared" si="0"/>
        <v>36</v>
      </c>
      <c r="B42" s="116" t="s">
        <v>74</v>
      </c>
      <c r="C42" s="116" t="s">
        <v>77</v>
      </c>
      <c r="D42" s="145">
        <v>48</v>
      </c>
      <c r="E42" s="145"/>
      <c r="F42" s="303">
        <f>[2]МКД!$H$20</f>
        <v>12</v>
      </c>
      <c r="G42" s="307">
        <f>H42+I42</f>
        <v>398.15899999999999</v>
      </c>
      <c r="H42" s="307">
        <v>231.13200000000001</v>
      </c>
      <c r="I42" s="307">
        <v>167.02699999999999</v>
      </c>
      <c r="J42" s="308">
        <f>K42+L42</f>
        <v>422.964</v>
      </c>
      <c r="K42" s="309">
        <v>245.37299999999999</v>
      </c>
      <c r="L42" s="309">
        <v>177.59100000000001</v>
      </c>
      <c r="M42" s="313">
        <v>425.03477999999996</v>
      </c>
      <c r="N42" s="314">
        <v>246.68545999999998</v>
      </c>
      <c r="O42" s="317">
        <v>178.34932000000001</v>
      </c>
      <c r="P42" s="319">
        <f>M42/F42</f>
        <v>35.419564999999999</v>
      </c>
    </row>
    <row r="43" spans="1:16" s="117" customFormat="1">
      <c r="A43" s="302">
        <f t="shared" si="0"/>
        <v>37</v>
      </c>
      <c r="B43" s="116" t="s">
        <v>74</v>
      </c>
      <c r="C43" s="116" t="s">
        <v>95</v>
      </c>
      <c r="D43" s="145">
        <v>5</v>
      </c>
      <c r="E43" s="145" t="s">
        <v>17</v>
      </c>
      <c r="F43" s="303">
        <f>[3]МКД!$H$165</f>
        <v>8</v>
      </c>
      <c r="G43" s="307">
        <f>H43+I43</f>
        <v>252.71500000000003</v>
      </c>
      <c r="H43" s="307">
        <v>69.921000000000006</v>
      </c>
      <c r="I43" s="307">
        <v>182.79400000000001</v>
      </c>
      <c r="J43" s="308">
        <f>K43+L43</f>
        <v>256.21899999999999</v>
      </c>
      <c r="K43" s="309">
        <v>78.179000000000002</v>
      </c>
      <c r="L43" s="309">
        <v>178.04</v>
      </c>
      <c r="M43" s="313">
        <v>265.69029999999998</v>
      </c>
      <c r="N43" s="314">
        <v>80.451859999999996</v>
      </c>
      <c r="O43" s="317">
        <v>185.23844</v>
      </c>
      <c r="P43" s="319">
        <f>M43/F43</f>
        <v>33.211287499999997</v>
      </c>
    </row>
    <row r="44" spans="1:16" s="117" customFormat="1">
      <c r="A44" s="302">
        <f t="shared" si="0"/>
        <v>38</v>
      </c>
      <c r="B44" s="116" t="s">
        <v>74</v>
      </c>
      <c r="C44" s="116" t="s">
        <v>21</v>
      </c>
      <c r="D44" s="145">
        <v>8</v>
      </c>
      <c r="E44" s="145"/>
      <c r="F44" s="303">
        <f>[2]МКД!$H$28</f>
        <v>12</v>
      </c>
      <c r="G44" s="307">
        <f>H44+I44</f>
        <v>385.55899999999997</v>
      </c>
      <c r="H44" s="307">
        <v>145.35</v>
      </c>
      <c r="I44" s="307">
        <v>240.209</v>
      </c>
      <c r="J44" s="308">
        <f>K44+L44</f>
        <v>400.221</v>
      </c>
      <c r="K44" s="309">
        <v>135.245</v>
      </c>
      <c r="L44" s="309">
        <v>264.976</v>
      </c>
      <c r="M44" s="313">
        <v>397.62862999999999</v>
      </c>
      <c r="N44" s="314">
        <v>135.84764999999999</v>
      </c>
      <c r="O44" s="317">
        <v>261.78098</v>
      </c>
      <c r="P44" s="319">
        <f>M44/F44</f>
        <v>33.135719166666668</v>
      </c>
    </row>
    <row r="45" spans="1:16" s="117" customFormat="1">
      <c r="A45" s="302">
        <f t="shared" si="0"/>
        <v>39</v>
      </c>
      <c r="B45" s="116" t="s">
        <v>74</v>
      </c>
      <c r="C45" s="116" t="s">
        <v>35</v>
      </c>
      <c r="D45" s="145">
        <v>28</v>
      </c>
      <c r="E45" s="145" t="s">
        <v>17</v>
      </c>
      <c r="F45" s="303">
        <f>[3]МКД!$H$102</f>
        <v>12</v>
      </c>
      <c r="G45" s="307">
        <f>H45+I45</f>
        <v>350.43899999999996</v>
      </c>
      <c r="H45" s="307">
        <v>222.73099999999999</v>
      </c>
      <c r="I45" s="307">
        <v>127.708</v>
      </c>
      <c r="J45" s="308">
        <f>K45+L45</f>
        <v>375.54999999999995</v>
      </c>
      <c r="K45" s="309">
        <v>234.65299999999999</v>
      </c>
      <c r="L45" s="309">
        <v>140.89699999999999</v>
      </c>
      <c r="M45" s="313">
        <v>393.43097999999998</v>
      </c>
      <c r="N45" s="314">
        <v>242.50388999999998</v>
      </c>
      <c r="O45" s="317">
        <v>150.92708999999999</v>
      </c>
      <c r="P45" s="319">
        <f>M45/F45</f>
        <v>32.785914999999996</v>
      </c>
    </row>
    <row r="46" spans="1:16" s="117" customFormat="1">
      <c r="A46" s="302">
        <f t="shared" si="0"/>
        <v>40</v>
      </c>
      <c r="B46" s="116" t="s">
        <v>74</v>
      </c>
      <c r="C46" s="116" t="s">
        <v>79</v>
      </c>
      <c r="D46" s="145">
        <v>9</v>
      </c>
      <c r="E46" s="145" t="s">
        <v>17</v>
      </c>
      <c r="F46" s="303">
        <f>[2]МКД!$H$33</f>
        <v>26</v>
      </c>
      <c r="G46" s="307">
        <f>H46+I46</f>
        <v>816.43200000000002</v>
      </c>
      <c r="H46" s="307">
        <v>331.47300000000001</v>
      </c>
      <c r="I46" s="307">
        <v>484.959</v>
      </c>
      <c r="J46" s="308">
        <f>K46+L46</f>
        <v>814.63499999999999</v>
      </c>
      <c r="K46" s="309">
        <v>355.36399999999998</v>
      </c>
      <c r="L46" s="309">
        <v>459.27100000000002</v>
      </c>
      <c r="M46" s="313">
        <v>849.49328000000003</v>
      </c>
      <c r="N46" s="314">
        <v>379.88655999999997</v>
      </c>
      <c r="O46" s="317">
        <v>469.60672000000005</v>
      </c>
      <c r="P46" s="319">
        <f>M46/F46</f>
        <v>32.672818461538462</v>
      </c>
    </row>
    <row r="47" spans="1:16" s="117" customFormat="1">
      <c r="A47" s="302">
        <f t="shared" si="0"/>
        <v>41</v>
      </c>
      <c r="B47" s="116" t="s">
        <v>74</v>
      </c>
      <c r="C47" s="116" t="s">
        <v>71</v>
      </c>
      <c r="D47" s="145">
        <v>20</v>
      </c>
      <c r="E47" s="145"/>
      <c r="F47" s="303">
        <f>[3]МКД!$H$93</f>
        <v>20</v>
      </c>
      <c r="G47" s="307">
        <f>H47+I47</f>
        <v>697.55300000000011</v>
      </c>
      <c r="H47" s="307">
        <v>530.32500000000005</v>
      </c>
      <c r="I47" s="307">
        <v>167.22800000000001</v>
      </c>
      <c r="J47" s="308">
        <f>K47+L47</f>
        <v>714.63499999999999</v>
      </c>
      <c r="K47" s="309">
        <v>551.10400000000004</v>
      </c>
      <c r="L47" s="309">
        <v>163.53100000000001</v>
      </c>
      <c r="M47" s="313">
        <v>648.95119</v>
      </c>
      <c r="N47" s="314">
        <v>511.41043999999999</v>
      </c>
      <c r="O47" s="317">
        <v>137.54075</v>
      </c>
      <c r="P47" s="319">
        <f>M47/F47</f>
        <v>32.447559499999997</v>
      </c>
    </row>
    <row r="48" spans="1:16" s="117" customFormat="1">
      <c r="A48" s="302">
        <f t="shared" si="0"/>
        <v>42</v>
      </c>
      <c r="B48" s="116" t="s">
        <v>74</v>
      </c>
      <c r="C48" s="116" t="s">
        <v>89</v>
      </c>
      <c r="D48" s="145">
        <v>8</v>
      </c>
      <c r="E48" s="145"/>
      <c r="F48" s="303">
        <f>[3]МКД!$H$133</f>
        <v>8</v>
      </c>
      <c r="G48" s="307">
        <f>H48+I48</f>
        <v>298.13299999999998</v>
      </c>
      <c r="H48" s="307">
        <v>247.15899999999999</v>
      </c>
      <c r="I48" s="307">
        <v>50.973999999999997</v>
      </c>
      <c r="J48" s="308">
        <f>K48+L48</f>
        <v>296.97399999999999</v>
      </c>
      <c r="K48" s="309">
        <v>245.386</v>
      </c>
      <c r="L48" s="309">
        <v>51.588000000000001</v>
      </c>
      <c r="M48" s="313">
        <v>255.67482999999999</v>
      </c>
      <c r="N48" s="314">
        <v>219.28975</v>
      </c>
      <c r="O48" s="317">
        <v>36.385080000000002</v>
      </c>
      <c r="P48" s="319">
        <f>M48/F48</f>
        <v>31.959353749999998</v>
      </c>
    </row>
    <row r="49" spans="1:16" s="117" customFormat="1">
      <c r="A49" s="302">
        <f t="shared" si="0"/>
        <v>43</v>
      </c>
      <c r="B49" s="116" t="s">
        <v>74</v>
      </c>
      <c r="C49" s="116" t="s">
        <v>16</v>
      </c>
      <c r="D49" s="145">
        <v>43</v>
      </c>
      <c r="E49" s="145" t="s">
        <v>17</v>
      </c>
      <c r="F49" s="303">
        <f>[2]МКД!$H$51</f>
        <v>12</v>
      </c>
      <c r="G49" s="307">
        <f>H49+I49</f>
        <v>353.96199999999999</v>
      </c>
      <c r="H49" s="307">
        <v>197.666</v>
      </c>
      <c r="I49" s="307">
        <v>156.29599999999999</v>
      </c>
      <c r="J49" s="308">
        <f>K49+L49</f>
        <v>366.22500000000002</v>
      </c>
      <c r="K49" s="309">
        <v>199.87899999999999</v>
      </c>
      <c r="L49" s="309">
        <v>166.346</v>
      </c>
      <c r="M49" s="313">
        <v>382.29986000000002</v>
      </c>
      <c r="N49" s="314">
        <v>207.64032</v>
      </c>
      <c r="O49" s="317">
        <v>174.65954000000002</v>
      </c>
      <c r="P49" s="319">
        <f>M49/F49</f>
        <v>31.858321666666669</v>
      </c>
    </row>
    <row r="50" spans="1:16" s="117" customFormat="1">
      <c r="A50" s="302">
        <f t="shared" si="0"/>
        <v>44</v>
      </c>
      <c r="B50" s="116" t="s">
        <v>74</v>
      </c>
      <c r="C50" s="116" t="s">
        <v>70</v>
      </c>
      <c r="D50" s="145">
        <v>3</v>
      </c>
      <c r="E50" s="145"/>
      <c r="F50" s="303">
        <f>[3]МКД!$H$76</f>
        <v>72</v>
      </c>
      <c r="G50" s="307">
        <f>H50+I50</f>
        <v>1713.6559999999999</v>
      </c>
      <c r="H50" s="307">
        <v>779.30399999999997</v>
      </c>
      <c r="I50" s="307">
        <v>934.35199999999998</v>
      </c>
      <c r="J50" s="308">
        <f>K50+L50</f>
        <v>2093.1959999999999</v>
      </c>
      <c r="K50" s="309">
        <v>908.63599999999997</v>
      </c>
      <c r="L50" s="309">
        <v>1184.56</v>
      </c>
      <c r="M50" s="313">
        <v>2186.33664</v>
      </c>
      <c r="N50" s="314">
        <v>900.35663999999997</v>
      </c>
      <c r="O50" s="317">
        <v>1285.98</v>
      </c>
      <c r="P50" s="319">
        <f>M50/F50</f>
        <v>30.365786666666665</v>
      </c>
    </row>
    <row r="51" spans="1:16" s="117" customFormat="1">
      <c r="A51" s="302">
        <f t="shared" si="0"/>
        <v>45</v>
      </c>
      <c r="B51" s="116" t="s">
        <v>74</v>
      </c>
      <c r="C51" s="116" t="s">
        <v>94</v>
      </c>
      <c r="D51" s="145">
        <v>43</v>
      </c>
      <c r="E51" s="145"/>
      <c r="F51" s="303">
        <f>[3]МКД!$H$155</f>
        <v>27</v>
      </c>
      <c r="G51" s="307">
        <f>H51+I51</f>
        <v>764.529</v>
      </c>
      <c r="H51" s="307">
        <v>238.30699999999999</v>
      </c>
      <c r="I51" s="307">
        <v>526.22199999999998</v>
      </c>
      <c r="J51" s="308">
        <f>K51+L51</f>
        <v>823.32999999999993</v>
      </c>
      <c r="K51" s="309">
        <v>257.97300000000001</v>
      </c>
      <c r="L51" s="309">
        <v>565.35699999999997</v>
      </c>
      <c r="M51" s="313">
        <v>813.00731999999994</v>
      </c>
      <c r="N51" s="314">
        <v>270.09636</v>
      </c>
      <c r="O51" s="317">
        <v>542.91095999999993</v>
      </c>
      <c r="P51" s="319">
        <f>M51/F51</f>
        <v>30.111382222222218</v>
      </c>
    </row>
    <row r="52" spans="1:16" s="117" customFormat="1">
      <c r="A52" s="302">
        <f t="shared" si="0"/>
        <v>46</v>
      </c>
      <c r="B52" s="116" t="s">
        <v>74</v>
      </c>
      <c r="C52" s="116" t="s">
        <v>21</v>
      </c>
      <c r="D52" s="145">
        <v>10</v>
      </c>
      <c r="E52" s="145"/>
      <c r="F52" s="303">
        <f>[2]МКД!$H$29</f>
        <v>20</v>
      </c>
      <c r="G52" s="307">
        <f>H52+I52</f>
        <v>620.23900000000003</v>
      </c>
      <c r="H52" s="307">
        <v>254.84100000000001</v>
      </c>
      <c r="I52" s="307">
        <v>365.39800000000002</v>
      </c>
      <c r="J52" s="308">
        <f>K52+L52</f>
        <v>584.14499999999998</v>
      </c>
      <c r="K52" s="309">
        <v>232.91800000000001</v>
      </c>
      <c r="L52" s="309">
        <v>351.22699999999998</v>
      </c>
      <c r="M52" s="313">
        <v>601.94571999999994</v>
      </c>
      <c r="N52" s="314">
        <v>225.10571999999999</v>
      </c>
      <c r="O52" s="317">
        <v>376.84</v>
      </c>
      <c r="P52" s="319">
        <f>M52/F52</f>
        <v>30.097285999999997</v>
      </c>
    </row>
    <row r="53" spans="1:16" s="117" customFormat="1">
      <c r="A53" s="302">
        <f t="shared" si="0"/>
        <v>47</v>
      </c>
      <c r="B53" s="116" t="s">
        <v>74</v>
      </c>
      <c r="C53" s="116" t="s">
        <v>86</v>
      </c>
      <c r="D53" s="145">
        <v>8</v>
      </c>
      <c r="E53" s="145"/>
      <c r="F53" s="303">
        <f>[3]МКД!$H$105</f>
        <v>8</v>
      </c>
      <c r="G53" s="307">
        <f>H53+I53</f>
        <v>199.20099999999999</v>
      </c>
      <c r="H53" s="307">
        <v>75.228999999999999</v>
      </c>
      <c r="I53" s="307">
        <v>123.97199999999999</v>
      </c>
      <c r="J53" s="308">
        <f>K53+L53</f>
        <v>224.41300000000001</v>
      </c>
      <c r="K53" s="309">
        <v>85.429000000000002</v>
      </c>
      <c r="L53" s="309">
        <v>138.98400000000001</v>
      </c>
      <c r="M53" s="313">
        <v>229.64392999999998</v>
      </c>
      <c r="N53" s="314">
        <v>88.851969999999994</v>
      </c>
      <c r="O53" s="317">
        <v>140.79195999999999</v>
      </c>
      <c r="P53" s="319">
        <f>M53/F53</f>
        <v>28.705491249999998</v>
      </c>
    </row>
    <row r="54" spans="1:16" s="117" customFormat="1">
      <c r="A54" s="302">
        <f t="shared" si="0"/>
        <v>48</v>
      </c>
      <c r="B54" s="116" t="s">
        <v>74</v>
      </c>
      <c r="C54" s="116" t="s">
        <v>70</v>
      </c>
      <c r="D54" s="145">
        <v>2</v>
      </c>
      <c r="E54" s="145"/>
      <c r="F54" s="303">
        <f>[3]МКД!$H$75</f>
        <v>24</v>
      </c>
      <c r="G54" s="307">
        <f>H54+I54</f>
        <v>580.23800000000006</v>
      </c>
      <c r="H54" s="307">
        <v>173.89500000000001</v>
      </c>
      <c r="I54" s="307">
        <v>406.34300000000002</v>
      </c>
      <c r="J54" s="308">
        <f>K54+L54</f>
        <v>639.18600000000004</v>
      </c>
      <c r="K54" s="309">
        <v>200.78700000000001</v>
      </c>
      <c r="L54" s="309">
        <v>438.399</v>
      </c>
      <c r="M54" s="313">
        <v>683.29463999999996</v>
      </c>
      <c r="N54" s="314">
        <v>212.07167999999999</v>
      </c>
      <c r="O54" s="317">
        <v>471.22296</v>
      </c>
      <c r="P54" s="319">
        <f>M54/F54</f>
        <v>28.470609999999997</v>
      </c>
    </row>
    <row r="55" spans="1:16" s="117" customFormat="1">
      <c r="A55" s="302">
        <f t="shared" si="0"/>
        <v>49</v>
      </c>
      <c r="B55" s="116" t="s">
        <v>74</v>
      </c>
      <c r="C55" s="116" t="s">
        <v>21</v>
      </c>
      <c r="D55" s="145">
        <v>12</v>
      </c>
      <c r="E55" s="145"/>
      <c r="F55" s="118">
        <f>[2]МКД!$H$30</f>
        <v>20</v>
      </c>
      <c r="G55" s="307">
        <f>H55+I55</f>
        <v>502.43900000000002</v>
      </c>
      <c r="H55" s="307">
        <v>197.70699999999999</v>
      </c>
      <c r="I55" s="307">
        <v>304.73200000000003</v>
      </c>
      <c r="J55" s="308">
        <f>K55+L55</f>
        <v>540.88099999999997</v>
      </c>
      <c r="K55" s="309">
        <v>214.94800000000001</v>
      </c>
      <c r="L55" s="309">
        <v>325.93299999999999</v>
      </c>
      <c r="M55" s="313">
        <v>563.49101999999993</v>
      </c>
      <c r="N55" s="314">
        <v>219.17340999999999</v>
      </c>
      <c r="O55" s="317">
        <v>344.31761</v>
      </c>
      <c r="P55" s="319">
        <f>M55/F55</f>
        <v>28.174550999999997</v>
      </c>
    </row>
    <row r="56" spans="1:16" s="117" customFormat="1">
      <c r="A56" s="302">
        <f t="shared" si="0"/>
        <v>50</v>
      </c>
      <c r="B56" s="116" t="s">
        <v>74</v>
      </c>
      <c r="C56" s="116" t="s">
        <v>77</v>
      </c>
      <c r="D56" s="145">
        <v>12</v>
      </c>
      <c r="E56" s="145"/>
      <c r="F56" s="303">
        <f>[2]МКД!$H$14</f>
        <v>16</v>
      </c>
      <c r="G56" s="307">
        <f>H56+I56</f>
        <v>375.65899999999999</v>
      </c>
      <c r="H56" s="307">
        <v>122.70399999999999</v>
      </c>
      <c r="I56" s="307">
        <v>252.95500000000001</v>
      </c>
      <c r="J56" s="308">
        <f>K56+L56</f>
        <v>442.952</v>
      </c>
      <c r="K56" s="309">
        <v>135.63499999999999</v>
      </c>
      <c r="L56" s="309">
        <v>307.31700000000001</v>
      </c>
      <c r="M56" s="313">
        <v>443.78454000000005</v>
      </c>
      <c r="N56" s="314">
        <v>140.27256</v>
      </c>
      <c r="O56" s="317">
        <v>303.51198000000005</v>
      </c>
      <c r="P56" s="319">
        <f>M56/F56</f>
        <v>27.736533750000003</v>
      </c>
    </row>
    <row r="57" spans="1:16" s="117" customFormat="1">
      <c r="A57" s="302">
        <f t="shared" si="0"/>
        <v>51</v>
      </c>
      <c r="B57" s="116" t="s">
        <v>74</v>
      </c>
      <c r="C57" s="116" t="s">
        <v>86</v>
      </c>
      <c r="D57" s="145">
        <v>31</v>
      </c>
      <c r="E57" s="145"/>
      <c r="F57" s="303">
        <f>[3]МКД!$H$114</f>
        <v>18</v>
      </c>
      <c r="G57" s="307">
        <f>H57+I57</f>
        <v>394.68399999999997</v>
      </c>
      <c r="H57" s="307">
        <v>159.64699999999999</v>
      </c>
      <c r="I57" s="307">
        <v>235.03700000000001</v>
      </c>
      <c r="J57" s="308">
        <f>K57+L57</f>
        <v>439.36799999999994</v>
      </c>
      <c r="K57" s="309">
        <v>176.45099999999999</v>
      </c>
      <c r="L57" s="309">
        <v>262.91699999999997</v>
      </c>
      <c r="M57" s="313">
        <v>475.63513999999998</v>
      </c>
      <c r="N57" s="314">
        <v>182.43273000000002</v>
      </c>
      <c r="O57" s="317">
        <v>293.20240999999999</v>
      </c>
      <c r="P57" s="319">
        <f>M57/F57</f>
        <v>26.424174444444443</v>
      </c>
    </row>
    <row r="58" spans="1:16" s="117" customFormat="1">
      <c r="A58" s="302">
        <f t="shared" si="0"/>
        <v>52</v>
      </c>
      <c r="B58" s="116" t="s">
        <v>74</v>
      </c>
      <c r="C58" s="116" t="s">
        <v>85</v>
      </c>
      <c r="D58" s="145">
        <v>9</v>
      </c>
      <c r="E58" s="145"/>
      <c r="F58" s="303">
        <f>[3]МКД!$H$103</f>
        <v>4</v>
      </c>
      <c r="G58" s="307">
        <f>H58+I58</f>
        <v>184.01299999999998</v>
      </c>
      <c r="H58" s="307">
        <v>77.400999999999996</v>
      </c>
      <c r="I58" s="307">
        <v>106.61199999999999</v>
      </c>
      <c r="J58" s="308">
        <f>K58+L58</f>
        <v>134.31200000000001</v>
      </c>
      <c r="K58" s="309">
        <v>65.191999999999993</v>
      </c>
      <c r="L58" s="309">
        <v>69.12</v>
      </c>
      <c r="M58" s="313">
        <v>104.45293000000001</v>
      </c>
      <c r="N58" s="314">
        <v>40.718379999999996</v>
      </c>
      <c r="O58" s="317">
        <v>63.734550000000006</v>
      </c>
      <c r="P58" s="319">
        <f>M58/F58</f>
        <v>26.113232500000002</v>
      </c>
    </row>
    <row r="59" spans="1:16" s="117" customFormat="1">
      <c r="A59" s="302">
        <f t="shared" si="0"/>
        <v>53</v>
      </c>
      <c r="B59" s="116" t="s">
        <v>74</v>
      </c>
      <c r="C59" s="116" t="s">
        <v>81</v>
      </c>
      <c r="D59" s="145">
        <v>12</v>
      </c>
      <c r="E59" s="145" t="s">
        <v>17</v>
      </c>
      <c r="F59" s="303">
        <f>[2]МКД!$H$43</f>
        <v>12</v>
      </c>
      <c r="G59" s="307">
        <f>H59+I59</f>
        <v>292.42099999999999</v>
      </c>
      <c r="H59" s="307">
        <v>64.531999999999996</v>
      </c>
      <c r="I59" s="307">
        <v>227.88900000000001</v>
      </c>
      <c r="J59" s="308">
        <f>K59+L59</f>
        <v>294.96899999999999</v>
      </c>
      <c r="K59" s="309">
        <v>63.997</v>
      </c>
      <c r="L59" s="309">
        <v>230.97200000000001</v>
      </c>
      <c r="M59" s="313">
        <v>306.05460999999997</v>
      </c>
      <c r="N59" s="314">
        <v>66.355049999999991</v>
      </c>
      <c r="O59" s="317">
        <v>239.69955999999999</v>
      </c>
      <c r="P59" s="319">
        <f>M59/F59</f>
        <v>25.50455083333333</v>
      </c>
    </row>
    <row r="60" spans="1:16" s="117" customFormat="1">
      <c r="A60" s="302">
        <f t="shared" si="0"/>
        <v>54</v>
      </c>
      <c r="B60" s="116" t="s">
        <v>74</v>
      </c>
      <c r="C60" s="116" t="s">
        <v>16</v>
      </c>
      <c r="D60" s="145">
        <v>16</v>
      </c>
      <c r="E60" s="145"/>
      <c r="F60" s="303">
        <f>[2]МКД!$H$46</f>
        <v>9</v>
      </c>
      <c r="G60" s="307">
        <f>H60+I60</f>
        <v>291.95799999999997</v>
      </c>
      <c r="H60" s="307">
        <v>172.15799999999999</v>
      </c>
      <c r="I60" s="307">
        <v>119.8</v>
      </c>
      <c r="J60" s="308">
        <f>K60+L60</f>
        <v>242.49900000000002</v>
      </c>
      <c r="K60" s="309">
        <v>99.402000000000001</v>
      </c>
      <c r="L60" s="309">
        <v>143.09700000000001</v>
      </c>
      <c r="M60" s="313">
        <v>226.42864</v>
      </c>
      <c r="N60" s="314">
        <v>107.91118</v>
      </c>
      <c r="O60" s="317">
        <v>118.51746</v>
      </c>
      <c r="P60" s="319">
        <f>M60/F60</f>
        <v>25.158737777777777</v>
      </c>
    </row>
    <row r="61" spans="1:16" s="117" customFormat="1">
      <c r="A61" s="302">
        <f t="shared" si="0"/>
        <v>55</v>
      </c>
      <c r="B61" s="116" t="s">
        <v>74</v>
      </c>
      <c r="C61" s="116" t="s">
        <v>82</v>
      </c>
      <c r="D61" s="145">
        <v>3</v>
      </c>
      <c r="E61" s="145"/>
      <c r="F61" s="303">
        <f>[2]МКД!$H$45</f>
        <v>2</v>
      </c>
      <c r="G61" s="307">
        <f>H61+I61</f>
        <v>26.75</v>
      </c>
      <c r="H61" s="307">
        <v>10.180999999999999</v>
      </c>
      <c r="I61" s="307">
        <v>16.568999999999999</v>
      </c>
      <c r="J61" s="308">
        <f>K61+L61</f>
        <v>38.372999999999998</v>
      </c>
      <c r="K61" s="309">
        <v>13.592000000000001</v>
      </c>
      <c r="L61" s="309">
        <v>24.780999999999999</v>
      </c>
      <c r="M61" s="313">
        <v>49.896440000000005</v>
      </c>
      <c r="N61" s="314">
        <v>17.00403</v>
      </c>
      <c r="O61" s="317">
        <v>32.892410000000005</v>
      </c>
      <c r="P61" s="319">
        <f>M61/F61</f>
        <v>24.948220000000003</v>
      </c>
    </row>
    <row r="62" spans="1:16" s="117" customFormat="1">
      <c r="A62" s="302">
        <f t="shared" si="0"/>
        <v>56</v>
      </c>
      <c r="B62" s="116" t="s">
        <v>74</v>
      </c>
      <c r="C62" s="116" t="s">
        <v>32</v>
      </c>
      <c r="D62" s="145">
        <v>21</v>
      </c>
      <c r="E62" s="145"/>
      <c r="F62" s="303">
        <f>[2]МКД!$H$35</f>
        <v>8</v>
      </c>
      <c r="G62" s="307">
        <f>H62+I62</f>
        <v>178.15299999999999</v>
      </c>
      <c r="H62" s="307">
        <v>32.606000000000002</v>
      </c>
      <c r="I62" s="307">
        <v>145.547</v>
      </c>
      <c r="J62" s="308">
        <f>K62+L62</f>
        <v>204.35499999999999</v>
      </c>
      <c r="K62" s="309">
        <v>43.226999999999997</v>
      </c>
      <c r="L62" s="309">
        <v>161.12799999999999</v>
      </c>
      <c r="M62" s="313">
        <v>198.62368000000001</v>
      </c>
      <c r="N62" s="314">
        <v>51.197660000000006</v>
      </c>
      <c r="O62" s="317">
        <v>147.42601999999999</v>
      </c>
      <c r="P62" s="319">
        <f>M62/F62</f>
        <v>24.827960000000001</v>
      </c>
    </row>
    <row r="63" spans="1:16" s="117" customFormat="1">
      <c r="A63" s="302">
        <f t="shared" si="0"/>
        <v>57</v>
      </c>
      <c r="B63" s="116" t="s">
        <v>74</v>
      </c>
      <c r="C63" s="116" t="s">
        <v>51</v>
      </c>
      <c r="D63" s="145">
        <v>6</v>
      </c>
      <c r="E63" s="145"/>
      <c r="F63" s="303">
        <f>[3]МКД!$H$72</f>
        <v>12</v>
      </c>
      <c r="G63" s="307">
        <f>H63+I63</f>
        <v>242.27600000000001</v>
      </c>
      <c r="H63" s="307">
        <v>125.93600000000001</v>
      </c>
      <c r="I63" s="307">
        <v>116.34</v>
      </c>
      <c r="J63" s="308">
        <f>K63+L63</f>
        <v>268.64300000000003</v>
      </c>
      <c r="K63" s="309">
        <v>137.434</v>
      </c>
      <c r="L63" s="309">
        <v>131.209</v>
      </c>
      <c r="M63" s="313">
        <v>280.15410999999995</v>
      </c>
      <c r="N63" s="314">
        <v>143.61200999999997</v>
      </c>
      <c r="O63" s="317">
        <v>136.5421</v>
      </c>
      <c r="P63" s="319">
        <f>M63/F63</f>
        <v>23.34617583333333</v>
      </c>
    </row>
    <row r="64" spans="1:16" s="117" customFormat="1">
      <c r="A64" s="302">
        <f t="shared" si="0"/>
        <v>58</v>
      </c>
      <c r="B64" s="116" t="s">
        <v>74</v>
      </c>
      <c r="C64" s="116" t="s">
        <v>84</v>
      </c>
      <c r="D64" s="145">
        <v>12</v>
      </c>
      <c r="E64" s="145"/>
      <c r="F64" s="303">
        <f>[2]МКД!$H$68</f>
        <v>12</v>
      </c>
      <c r="G64" s="307">
        <f>H64+I64</f>
        <v>338.44900000000001</v>
      </c>
      <c r="H64" s="307">
        <v>89.477000000000004</v>
      </c>
      <c r="I64" s="307">
        <v>248.97200000000001</v>
      </c>
      <c r="J64" s="308">
        <f>K64+L64</f>
        <v>259.59000000000003</v>
      </c>
      <c r="K64" s="309">
        <v>63.125</v>
      </c>
      <c r="L64" s="309">
        <v>196.465</v>
      </c>
      <c r="M64" s="313">
        <v>276.10672999999997</v>
      </c>
      <c r="N64" s="314">
        <v>66.572759999999988</v>
      </c>
      <c r="O64" s="317">
        <v>209.53397000000001</v>
      </c>
      <c r="P64" s="319">
        <f>M64/F64</f>
        <v>23.008894166666664</v>
      </c>
    </row>
    <row r="65" spans="1:16" s="117" customFormat="1">
      <c r="A65" s="302">
        <f t="shared" si="0"/>
        <v>59</v>
      </c>
      <c r="B65" s="116" t="s">
        <v>74</v>
      </c>
      <c r="C65" s="116" t="s">
        <v>86</v>
      </c>
      <c r="D65" s="145">
        <v>10</v>
      </c>
      <c r="E65" s="145"/>
      <c r="F65" s="303">
        <f>[3]МКД!$H$106</f>
        <v>12</v>
      </c>
      <c r="G65" s="307">
        <f>H65+I65</f>
        <v>253.322</v>
      </c>
      <c r="H65" s="307">
        <v>81.813000000000002</v>
      </c>
      <c r="I65" s="307">
        <v>171.50899999999999</v>
      </c>
      <c r="J65" s="308">
        <f>K65+L65</f>
        <v>268.55</v>
      </c>
      <c r="K65" s="309">
        <v>93.096999999999994</v>
      </c>
      <c r="L65" s="309">
        <v>175.453</v>
      </c>
      <c r="M65" s="313">
        <v>275.33589000000001</v>
      </c>
      <c r="N65" s="314">
        <v>98.135009999999994</v>
      </c>
      <c r="O65" s="317">
        <v>177.20088000000001</v>
      </c>
      <c r="P65" s="319">
        <f>M65/F65</f>
        <v>22.944657500000002</v>
      </c>
    </row>
    <row r="66" spans="1:16" s="117" customFormat="1">
      <c r="A66" s="302">
        <f t="shared" si="0"/>
        <v>60</v>
      </c>
      <c r="B66" s="116" t="s">
        <v>74</v>
      </c>
      <c r="C66" s="116" t="s">
        <v>94</v>
      </c>
      <c r="D66" s="145">
        <v>45</v>
      </c>
      <c r="E66" s="145" t="s">
        <v>17</v>
      </c>
      <c r="F66" s="303">
        <f>[3]МКД!$H$158</f>
        <v>12</v>
      </c>
      <c r="G66" s="307">
        <f>H66+I66</f>
        <v>235.34899999999999</v>
      </c>
      <c r="H66" s="307">
        <v>87.004999999999995</v>
      </c>
      <c r="I66" s="307">
        <v>148.34399999999999</v>
      </c>
      <c r="J66" s="308">
        <f>K66+L66</f>
        <v>274.35000000000002</v>
      </c>
      <c r="K66" s="309">
        <v>99.349000000000004</v>
      </c>
      <c r="L66" s="309">
        <v>175.001</v>
      </c>
      <c r="M66" s="313">
        <v>264.93783999999999</v>
      </c>
      <c r="N66" s="314">
        <v>98.248000000000005</v>
      </c>
      <c r="O66" s="317">
        <v>166.68984</v>
      </c>
      <c r="P66" s="319">
        <f>M66/F66</f>
        <v>22.078153333333333</v>
      </c>
    </row>
    <row r="67" spans="1:16" s="117" customFormat="1">
      <c r="A67" s="302">
        <f t="shared" si="0"/>
        <v>61</v>
      </c>
      <c r="B67" s="116" t="s">
        <v>74</v>
      </c>
      <c r="C67" s="116" t="s">
        <v>88</v>
      </c>
      <c r="D67" s="145">
        <v>7</v>
      </c>
      <c r="E67" s="145"/>
      <c r="F67" s="303">
        <f>[3]МКД!$H$130</f>
        <v>12</v>
      </c>
      <c r="G67" s="307">
        <f>H67+I67</f>
        <v>241.94499999999999</v>
      </c>
      <c r="H67" s="307">
        <v>240.304</v>
      </c>
      <c r="I67" s="307">
        <v>1.641</v>
      </c>
      <c r="J67" s="308">
        <f>K67+L67</f>
        <v>256.48500000000001</v>
      </c>
      <c r="K67" s="309">
        <v>254.84899999999999</v>
      </c>
      <c r="L67" s="309">
        <v>1.6359999999999999</v>
      </c>
      <c r="M67" s="313">
        <v>257.6576</v>
      </c>
      <c r="N67" s="314">
        <v>255.88235</v>
      </c>
      <c r="O67" s="317">
        <v>1.77525</v>
      </c>
      <c r="P67" s="319">
        <f>M67/F67</f>
        <v>21.471466666666668</v>
      </c>
    </row>
    <row r="68" spans="1:16" s="117" customFormat="1">
      <c r="A68" s="302">
        <f t="shared" si="0"/>
        <v>62</v>
      </c>
      <c r="B68" s="116" t="s">
        <v>74</v>
      </c>
      <c r="C68" s="116" t="s">
        <v>77</v>
      </c>
      <c r="D68" s="145">
        <v>10</v>
      </c>
      <c r="E68" s="145"/>
      <c r="F68" s="303">
        <f>[2]МКД!$H$13</f>
        <v>13</v>
      </c>
      <c r="G68" s="307">
        <f>H68+I68</f>
        <v>239.654</v>
      </c>
      <c r="H68" s="307">
        <v>87.546999999999997</v>
      </c>
      <c r="I68" s="307">
        <v>152.107</v>
      </c>
      <c r="J68" s="308">
        <f>K68+L68</f>
        <v>257.97199999999998</v>
      </c>
      <c r="K68" s="309">
        <v>101.575</v>
      </c>
      <c r="L68" s="309">
        <v>156.39699999999999</v>
      </c>
      <c r="M68" s="313">
        <v>270.55353000000002</v>
      </c>
      <c r="N68" s="314">
        <v>107.53804000000001</v>
      </c>
      <c r="O68" s="317">
        <v>163.01549</v>
      </c>
      <c r="P68" s="319">
        <f>M68/F68</f>
        <v>20.811810000000001</v>
      </c>
    </row>
    <row r="69" spans="1:16" s="117" customFormat="1">
      <c r="A69" s="302">
        <f t="shared" si="0"/>
        <v>63</v>
      </c>
      <c r="B69" s="116" t="s">
        <v>74</v>
      </c>
      <c r="C69" s="116" t="s">
        <v>16</v>
      </c>
      <c r="D69" s="145">
        <v>18</v>
      </c>
      <c r="E69" s="145"/>
      <c r="F69" s="303">
        <f>[2]МКД!$H$47</f>
        <v>12</v>
      </c>
      <c r="G69" s="307">
        <f>H69+I69</f>
        <v>211.95699999999999</v>
      </c>
      <c r="H69" s="307">
        <v>63.694000000000003</v>
      </c>
      <c r="I69" s="307">
        <v>148.26300000000001</v>
      </c>
      <c r="J69" s="308">
        <f>K69+L69</f>
        <v>237.87400000000002</v>
      </c>
      <c r="K69" s="309">
        <v>71.382999999999996</v>
      </c>
      <c r="L69" s="309">
        <v>166.49100000000001</v>
      </c>
      <c r="M69" s="313">
        <v>247.28712999999999</v>
      </c>
      <c r="N69" s="314">
        <v>75.889189999999999</v>
      </c>
      <c r="O69" s="317">
        <v>171.39794000000001</v>
      </c>
      <c r="P69" s="319">
        <f>M69/F69</f>
        <v>20.607260833333331</v>
      </c>
    </row>
    <row r="70" spans="1:16" s="117" customFormat="1">
      <c r="A70" s="302">
        <f t="shared" si="0"/>
        <v>64</v>
      </c>
      <c r="B70" s="116" t="s">
        <v>74</v>
      </c>
      <c r="C70" s="116" t="s">
        <v>16</v>
      </c>
      <c r="D70" s="145">
        <v>50</v>
      </c>
      <c r="E70" s="145"/>
      <c r="F70" s="303">
        <f>[2]МКД!$H$55</f>
        <v>12</v>
      </c>
      <c r="G70" s="307">
        <f>H70+I70</f>
        <v>208.398</v>
      </c>
      <c r="H70" s="307">
        <v>124.601</v>
      </c>
      <c r="I70" s="307">
        <v>83.796999999999997</v>
      </c>
      <c r="J70" s="308">
        <f>K70+L70</f>
        <v>226.84399999999999</v>
      </c>
      <c r="K70" s="309">
        <v>136.00200000000001</v>
      </c>
      <c r="L70" s="309">
        <v>90.841999999999999</v>
      </c>
      <c r="M70" s="313">
        <v>240.76067999999998</v>
      </c>
      <c r="N70" s="314">
        <v>145.29170999999999</v>
      </c>
      <c r="O70" s="317">
        <v>95.468969999999999</v>
      </c>
      <c r="P70" s="319">
        <f>M70/F70</f>
        <v>20.063389999999998</v>
      </c>
    </row>
    <row r="71" spans="1:16" s="117" customFormat="1">
      <c r="A71" s="302">
        <f t="shared" si="0"/>
        <v>65</v>
      </c>
      <c r="B71" s="116" t="s">
        <v>74</v>
      </c>
      <c r="C71" s="116" t="s">
        <v>90</v>
      </c>
      <c r="D71" s="145">
        <v>10</v>
      </c>
      <c r="E71" s="145" t="s">
        <v>17</v>
      </c>
      <c r="F71" s="303">
        <f>[3]МКД!$H$139</f>
        <v>12</v>
      </c>
      <c r="G71" s="307">
        <f>H71+I71</f>
        <v>206.29399999999998</v>
      </c>
      <c r="H71" s="307">
        <v>114.411</v>
      </c>
      <c r="I71" s="307">
        <v>91.882999999999996</v>
      </c>
      <c r="J71" s="308">
        <f>K71+L71</f>
        <v>236.73499999999999</v>
      </c>
      <c r="K71" s="309">
        <v>130.37299999999999</v>
      </c>
      <c r="L71" s="309">
        <v>106.36199999999999</v>
      </c>
      <c r="M71" s="313">
        <v>240.62127000000004</v>
      </c>
      <c r="N71" s="314">
        <v>135.40445000000003</v>
      </c>
      <c r="O71" s="317">
        <v>105.21682000000001</v>
      </c>
      <c r="P71" s="319">
        <f>M71/F71</f>
        <v>20.051772500000002</v>
      </c>
    </row>
    <row r="72" spans="1:16" s="117" customFormat="1">
      <c r="A72" s="302">
        <f t="shared" si="0"/>
        <v>66</v>
      </c>
      <c r="B72" s="116" t="s">
        <v>74</v>
      </c>
      <c r="C72" s="116" t="s">
        <v>89</v>
      </c>
      <c r="D72" s="145">
        <v>2</v>
      </c>
      <c r="E72" s="145"/>
      <c r="F72" s="303">
        <f>[3]МКД!$H$132</f>
        <v>8</v>
      </c>
      <c r="G72" s="307">
        <f>H72+I72</f>
        <v>135.31200000000001</v>
      </c>
      <c r="H72" s="307">
        <v>131.68100000000001</v>
      </c>
      <c r="I72" s="307">
        <v>3.6309999999999998</v>
      </c>
      <c r="J72" s="308">
        <f>K72+L72</f>
        <v>141.03700000000001</v>
      </c>
      <c r="K72" s="309">
        <v>137.059</v>
      </c>
      <c r="L72" s="309">
        <v>3.9780000000000002</v>
      </c>
      <c r="M72" s="313">
        <v>155.71946</v>
      </c>
      <c r="N72" s="314">
        <v>151.31352999999999</v>
      </c>
      <c r="O72" s="317">
        <v>4.4059300000000006</v>
      </c>
      <c r="P72" s="319">
        <f>M72/F72</f>
        <v>19.4649325</v>
      </c>
    </row>
    <row r="73" spans="1:16" s="117" customFormat="1">
      <c r="A73" s="302">
        <f t="shared" ref="A73:A136" si="1">A72+1</f>
        <v>67</v>
      </c>
      <c r="B73" s="116" t="s">
        <v>74</v>
      </c>
      <c r="C73" s="116" t="s">
        <v>81</v>
      </c>
      <c r="D73" s="145">
        <v>14</v>
      </c>
      <c r="E73" s="145"/>
      <c r="F73" s="303">
        <f>[1]МКД!$H$276</f>
        <v>16</v>
      </c>
      <c r="G73" s="307">
        <f>H73+I73</f>
        <v>280.96799999999996</v>
      </c>
      <c r="H73" s="307">
        <v>64.730999999999995</v>
      </c>
      <c r="I73" s="307">
        <v>216.23699999999999</v>
      </c>
      <c r="J73" s="308">
        <f>K73+L73</f>
        <v>304.93100000000004</v>
      </c>
      <c r="K73" s="309">
        <v>77.844999999999999</v>
      </c>
      <c r="L73" s="309">
        <v>227.08600000000001</v>
      </c>
      <c r="M73" s="313">
        <v>307.71647999999999</v>
      </c>
      <c r="N73" s="314">
        <v>75.483829999999998</v>
      </c>
      <c r="O73" s="317">
        <v>232.23265000000001</v>
      </c>
      <c r="P73" s="319">
        <f>M73/F73</f>
        <v>19.232279999999999</v>
      </c>
    </row>
    <row r="74" spans="1:16" s="117" customFormat="1">
      <c r="A74" s="302">
        <f t="shared" si="1"/>
        <v>68</v>
      </c>
      <c r="B74" s="116" t="s">
        <v>74</v>
      </c>
      <c r="C74" s="116" t="s">
        <v>77</v>
      </c>
      <c r="D74" s="145">
        <v>6</v>
      </c>
      <c r="E74" s="145"/>
      <c r="F74" s="303">
        <f>[2]МКД!$H$10</f>
        <v>12</v>
      </c>
      <c r="G74" s="307">
        <f>H74+I74</f>
        <v>189.20699999999999</v>
      </c>
      <c r="H74" s="307">
        <v>60.418999999999997</v>
      </c>
      <c r="I74" s="307">
        <v>128.78800000000001</v>
      </c>
      <c r="J74" s="308">
        <f>K74+L74</f>
        <v>230.209</v>
      </c>
      <c r="K74" s="309">
        <v>74.438000000000002</v>
      </c>
      <c r="L74" s="309">
        <v>155.77099999999999</v>
      </c>
      <c r="M74" s="313">
        <v>223.60276999999999</v>
      </c>
      <c r="N74" s="314">
        <v>69.370620000000002</v>
      </c>
      <c r="O74" s="317">
        <v>154.23214999999999</v>
      </c>
      <c r="P74" s="319">
        <f>M74/F74</f>
        <v>18.633564166666666</v>
      </c>
    </row>
    <row r="75" spans="1:16" s="117" customFormat="1">
      <c r="A75" s="302">
        <f t="shared" si="1"/>
        <v>69</v>
      </c>
      <c r="B75" s="116" t="s">
        <v>74</v>
      </c>
      <c r="C75" s="116" t="s">
        <v>16</v>
      </c>
      <c r="D75" s="145">
        <v>45</v>
      </c>
      <c r="E75" s="145" t="s">
        <v>17</v>
      </c>
      <c r="F75" s="303">
        <f>[2]МКД!$H$52</f>
        <v>12</v>
      </c>
      <c r="G75" s="307">
        <f>H75+I75</f>
        <v>217.072</v>
      </c>
      <c r="H75" s="307">
        <v>57.604999999999997</v>
      </c>
      <c r="I75" s="307">
        <v>159.46700000000001</v>
      </c>
      <c r="J75" s="308">
        <f>K75+L75</f>
        <v>220.16800000000001</v>
      </c>
      <c r="K75" s="309">
        <v>63.046999999999997</v>
      </c>
      <c r="L75" s="309">
        <v>157.12100000000001</v>
      </c>
      <c r="M75" s="313">
        <v>222.38011</v>
      </c>
      <c r="N75" s="314">
        <v>67.355320000000006</v>
      </c>
      <c r="O75" s="317">
        <v>155.02479</v>
      </c>
      <c r="P75" s="319">
        <f>M75/F75</f>
        <v>18.531675833333335</v>
      </c>
    </row>
    <row r="76" spans="1:16" s="117" customFormat="1">
      <c r="A76" s="302">
        <f t="shared" si="1"/>
        <v>70</v>
      </c>
      <c r="B76" s="116" t="s">
        <v>74</v>
      </c>
      <c r="C76" s="116" t="s">
        <v>77</v>
      </c>
      <c r="D76" s="145">
        <v>52</v>
      </c>
      <c r="E76" s="145"/>
      <c r="F76" s="303">
        <f>[2]МКД!$H$22</f>
        <v>6</v>
      </c>
      <c r="G76" s="307">
        <f>H76+I76</f>
        <v>98.670999999999992</v>
      </c>
      <c r="H76" s="307">
        <v>73.483999999999995</v>
      </c>
      <c r="I76" s="307">
        <v>25.187000000000001</v>
      </c>
      <c r="J76" s="308">
        <f>K76+L76</f>
        <v>116.178</v>
      </c>
      <c r="K76" s="309">
        <v>88.016000000000005</v>
      </c>
      <c r="L76" s="309">
        <v>28.161999999999999</v>
      </c>
      <c r="M76" s="313">
        <v>111.06210999999999</v>
      </c>
      <c r="N76" s="314">
        <v>84.664419999999993</v>
      </c>
      <c r="O76" s="317">
        <v>26.397689999999997</v>
      </c>
      <c r="P76" s="319">
        <f>M76/F76</f>
        <v>18.510351666666665</v>
      </c>
    </row>
    <row r="77" spans="1:16" s="117" customFormat="1">
      <c r="A77" s="302">
        <f t="shared" si="1"/>
        <v>71</v>
      </c>
      <c r="B77" s="116" t="s">
        <v>74</v>
      </c>
      <c r="C77" s="116" t="s">
        <v>51</v>
      </c>
      <c r="D77" s="145">
        <v>8</v>
      </c>
      <c r="E77" s="145" t="s">
        <v>18</v>
      </c>
      <c r="F77" s="303">
        <f>[3]МКД!$H$73</f>
        <v>12</v>
      </c>
      <c r="G77" s="307">
        <f>H77+I77</f>
        <v>184.30700000000002</v>
      </c>
      <c r="H77" s="307">
        <v>157.01400000000001</v>
      </c>
      <c r="I77" s="307">
        <v>27.292999999999999</v>
      </c>
      <c r="J77" s="308">
        <f>K77+L77</f>
        <v>205.566</v>
      </c>
      <c r="K77" s="309">
        <v>178.274</v>
      </c>
      <c r="L77" s="309">
        <v>27.292000000000002</v>
      </c>
      <c r="M77" s="313">
        <v>220.83915999999999</v>
      </c>
      <c r="N77" s="314">
        <v>193.29300000000001</v>
      </c>
      <c r="O77" s="317">
        <v>27.54616</v>
      </c>
      <c r="P77" s="319">
        <f>M77/F77</f>
        <v>18.403263333333332</v>
      </c>
    </row>
    <row r="78" spans="1:16" s="117" customFormat="1">
      <c r="A78" s="302">
        <f t="shared" si="1"/>
        <v>72</v>
      </c>
      <c r="B78" s="116" t="s">
        <v>74</v>
      </c>
      <c r="C78" s="116" t="s">
        <v>72</v>
      </c>
      <c r="D78" s="145">
        <v>1</v>
      </c>
      <c r="E78" s="145" t="s">
        <v>18</v>
      </c>
      <c r="F78" s="303">
        <f>[3]МКД!$H$122</f>
        <v>12</v>
      </c>
      <c r="G78" s="307">
        <f>H78+I78</f>
        <v>193.512</v>
      </c>
      <c r="H78" s="307">
        <v>192.35400000000001</v>
      </c>
      <c r="I78" s="307">
        <v>1.1579999999999999</v>
      </c>
      <c r="J78" s="308">
        <f>K78+L78</f>
        <v>211.72499999999999</v>
      </c>
      <c r="K78" s="309">
        <v>210.416</v>
      </c>
      <c r="L78" s="309">
        <v>1.3089999999999999</v>
      </c>
      <c r="M78" s="313">
        <v>217.63916</v>
      </c>
      <c r="N78" s="314">
        <v>216.33674999999999</v>
      </c>
      <c r="O78" s="317">
        <v>1.3024099999999998</v>
      </c>
      <c r="P78" s="319">
        <f>M78/F78</f>
        <v>18.136596666666666</v>
      </c>
    </row>
    <row r="79" spans="1:16" s="117" customFormat="1">
      <c r="A79" s="302">
        <f t="shared" si="1"/>
        <v>73</v>
      </c>
      <c r="B79" s="116" t="s">
        <v>74</v>
      </c>
      <c r="C79" s="116" t="s">
        <v>21</v>
      </c>
      <c r="D79" s="145">
        <v>6</v>
      </c>
      <c r="E79" s="145"/>
      <c r="F79" s="303">
        <f>[1]МКД!$H$232</f>
        <v>12</v>
      </c>
      <c r="G79" s="307">
        <f>H79+I79</f>
        <v>222.155</v>
      </c>
      <c r="H79" s="307">
        <v>104.352</v>
      </c>
      <c r="I79" s="307">
        <v>117.803</v>
      </c>
      <c r="J79" s="308">
        <f>K79+L79</f>
        <v>247.613</v>
      </c>
      <c r="K79" s="309">
        <v>115.10899999999999</v>
      </c>
      <c r="L79" s="309">
        <v>132.50399999999999</v>
      </c>
      <c r="M79" s="313">
        <v>207.14753999999999</v>
      </c>
      <c r="N79" s="314">
        <v>93.506419999999991</v>
      </c>
      <c r="O79" s="317">
        <v>113.64112</v>
      </c>
      <c r="P79" s="319">
        <f>M79/F79</f>
        <v>17.262294999999998</v>
      </c>
    </row>
    <row r="80" spans="1:16" s="117" customFormat="1">
      <c r="A80" s="302">
        <f t="shared" si="1"/>
        <v>74</v>
      </c>
      <c r="B80" s="116" t="s">
        <v>74</v>
      </c>
      <c r="C80" s="304" t="s">
        <v>91</v>
      </c>
      <c r="D80" s="145">
        <v>12</v>
      </c>
      <c r="E80" s="145"/>
      <c r="F80" s="306">
        <f>[3]МКД!$H$141</f>
        <v>4</v>
      </c>
      <c r="G80" s="307">
        <f>H80+I80</f>
        <v>65.968999999999994</v>
      </c>
      <c r="H80" s="307">
        <v>15.026999999999999</v>
      </c>
      <c r="I80" s="307">
        <v>50.942</v>
      </c>
      <c r="J80" s="308">
        <f>K80+L80</f>
        <v>66.923000000000002</v>
      </c>
      <c r="K80" s="309">
        <v>15.026999999999999</v>
      </c>
      <c r="L80" s="309">
        <v>51.896000000000001</v>
      </c>
      <c r="M80" s="313">
        <v>67.741429999999994</v>
      </c>
      <c r="N80" s="314">
        <v>15.027370000000001</v>
      </c>
      <c r="O80" s="317">
        <v>52.714059999999996</v>
      </c>
      <c r="P80" s="319">
        <f>M80/F80</f>
        <v>16.935357499999999</v>
      </c>
    </row>
    <row r="81" spans="1:16" s="117" customFormat="1">
      <c r="A81" s="302">
        <f t="shared" si="1"/>
        <v>75</v>
      </c>
      <c r="B81" s="116" t="s">
        <v>74</v>
      </c>
      <c r="C81" s="116" t="s">
        <v>34</v>
      </c>
      <c r="D81" s="145">
        <v>11</v>
      </c>
      <c r="E81" s="145" t="s">
        <v>17</v>
      </c>
      <c r="F81" s="303">
        <f>[3]МКД!$H$81</f>
        <v>12</v>
      </c>
      <c r="G81" s="307">
        <f>H81+I81</f>
        <v>189.38800000000001</v>
      </c>
      <c r="H81" s="307">
        <v>150.10300000000001</v>
      </c>
      <c r="I81" s="307">
        <v>39.284999999999997</v>
      </c>
      <c r="J81" s="308">
        <f>K81+L81</f>
        <v>201.81700000000001</v>
      </c>
      <c r="K81" s="309">
        <v>160.16200000000001</v>
      </c>
      <c r="L81" s="309">
        <v>41.655000000000001</v>
      </c>
      <c r="M81" s="313">
        <v>203.21795999999998</v>
      </c>
      <c r="N81" s="314">
        <v>165.45003999999997</v>
      </c>
      <c r="O81" s="317">
        <v>37.767920000000004</v>
      </c>
      <c r="P81" s="319">
        <f>M81/F81</f>
        <v>16.934829999999998</v>
      </c>
    </row>
    <row r="82" spans="1:16" s="117" customFormat="1">
      <c r="A82" s="302">
        <f t="shared" si="1"/>
        <v>76</v>
      </c>
      <c r="B82" s="116" t="s">
        <v>74</v>
      </c>
      <c r="C82" s="116" t="s">
        <v>81</v>
      </c>
      <c r="D82" s="145">
        <v>4</v>
      </c>
      <c r="E82" s="145"/>
      <c r="F82" s="303">
        <f>[2]МКД!$H$38</f>
        <v>12</v>
      </c>
      <c r="G82" s="307">
        <f>H82+I82</f>
        <v>261.46500000000003</v>
      </c>
      <c r="H82" s="307">
        <v>253.626</v>
      </c>
      <c r="I82" s="307">
        <v>7.8390000000000004</v>
      </c>
      <c r="J82" s="308">
        <f>K82+L82</f>
        <v>190.447</v>
      </c>
      <c r="K82" s="309">
        <v>183.24</v>
      </c>
      <c r="L82" s="309">
        <v>7.2069999999999999</v>
      </c>
      <c r="M82" s="313">
        <v>202.94589999999999</v>
      </c>
      <c r="N82" s="314">
        <v>195.60777999999999</v>
      </c>
      <c r="O82" s="317">
        <v>7.33812</v>
      </c>
      <c r="P82" s="319">
        <f>M82/F82</f>
        <v>16.912158333333334</v>
      </c>
    </row>
    <row r="83" spans="1:16" s="117" customFormat="1">
      <c r="A83" s="302">
        <f t="shared" si="1"/>
        <v>77</v>
      </c>
      <c r="B83" s="116" t="s">
        <v>74</v>
      </c>
      <c r="C83" s="116" t="s">
        <v>67</v>
      </c>
      <c r="D83" s="145">
        <v>5</v>
      </c>
      <c r="E83" s="145" t="s">
        <v>17</v>
      </c>
      <c r="F83" s="303">
        <f>[2]МКД!$H$25</f>
        <v>12</v>
      </c>
      <c r="G83" s="307">
        <f>H83+I83</f>
        <v>159.453</v>
      </c>
      <c r="H83" s="307">
        <v>106.53400000000001</v>
      </c>
      <c r="I83" s="307">
        <v>52.918999999999997</v>
      </c>
      <c r="J83" s="308">
        <f>K83+L83</f>
        <v>183.15600000000001</v>
      </c>
      <c r="K83" s="309">
        <v>115.413</v>
      </c>
      <c r="L83" s="309">
        <v>67.742999999999995</v>
      </c>
      <c r="M83" s="313">
        <v>200.65074000000004</v>
      </c>
      <c r="N83" s="314">
        <v>126.17079000000001</v>
      </c>
      <c r="O83" s="317">
        <v>74.479950000000017</v>
      </c>
      <c r="P83" s="319">
        <f>M83/F83</f>
        <v>16.720895000000002</v>
      </c>
    </row>
    <row r="84" spans="1:16" s="117" customFormat="1">
      <c r="A84" s="302">
        <f t="shared" si="1"/>
        <v>78</v>
      </c>
      <c r="B84" s="116" t="s">
        <v>74</v>
      </c>
      <c r="C84" s="116" t="s">
        <v>71</v>
      </c>
      <c r="D84" s="145">
        <v>2</v>
      </c>
      <c r="E84" s="145"/>
      <c r="F84" s="303">
        <f>[3]МКД!$H$88</f>
        <v>12</v>
      </c>
      <c r="G84" s="307">
        <f>H84+I84</f>
        <v>174.56799999999998</v>
      </c>
      <c r="H84" s="307">
        <v>68.203000000000003</v>
      </c>
      <c r="I84" s="307">
        <v>106.36499999999999</v>
      </c>
      <c r="J84" s="308">
        <f>K84+L84</f>
        <v>200.51</v>
      </c>
      <c r="K84" s="309">
        <v>77.628</v>
      </c>
      <c r="L84" s="309">
        <v>122.88200000000001</v>
      </c>
      <c r="M84" s="313">
        <v>187.29296999999997</v>
      </c>
      <c r="N84" s="314">
        <v>66.918559999999999</v>
      </c>
      <c r="O84" s="317">
        <v>120.37440999999998</v>
      </c>
      <c r="P84" s="319">
        <f>M84/F84</f>
        <v>15.607747499999997</v>
      </c>
    </row>
    <row r="85" spans="1:16" s="117" customFormat="1">
      <c r="A85" s="302">
        <f t="shared" si="1"/>
        <v>79</v>
      </c>
      <c r="B85" s="116" t="s">
        <v>74</v>
      </c>
      <c r="C85" s="116" t="s">
        <v>80</v>
      </c>
      <c r="D85" s="145">
        <v>3</v>
      </c>
      <c r="E85" s="145"/>
      <c r="F85" s="303">
        <f>[2]МКД!$H$37</f>
        <v>8</v>
      </c>
      <c r="G85" s="307">
        <f>H85+I85</f>
        <v>166.024</v>
      </c>
      <c r="H85" s="307">
        <v>106.122</v>
      </c>
      <c r="I85" s="307">
        <v>59.902000000000001</v>
      </c>
      <c r="J85" s="308">
        <f>K85+L85</f>
        <v>116.517</v>
      </c>
      <c r="K85" s="309">
        <v>116.517</v>
      </c>
      <c r="L85" s="309">
        <v>0</v>
      </c>
      <c r="M85" s="313">
        <v>123.03734000000001</v>
      </c>
      <c r="N85" s="314">
        <v>123.03734000000001</v>
      </c>
      <c r="O85" s="317">
        <v>0</v>
      </c>
      <c r="P85" s="319">
        <f>M85/F85</f>
        <v>15.379667500000002</v>
      </c>
    </row>
    <row r="86" spans="1:16" s="117" customFormat="1">
      <c r="A86" s="302">
        <f t="shared" si="1"/>
        <v>80</v>
      </c>
      <c r="B86" s="116" t="s">
        <v>74</v>
      </c>
      <c r="C86" s="116" t="s">
        <v>94</v>
      </c>
      <c r="D86" s="145">
        <v>14</v>
      </c>
      <c r="E86" s="145"/>
      <c r="F86" s="303">
        <f>[3]МКД!$H$146</f>
        <v>35</v>
      </c>
      <c r="G86" s="307">
        <f>H86+I86</f>
        <v>505.76900000000001</v>
      </c>
      <c r="H86" s="307">
        <v>200.851</v>
      </c>
      <c r="I86" s="307">
        <v>304.91800000000001</v>
      </c>
      <c r="J86" s="310">
        <f>K86+L86</f>
        <v>568.404</v>
      </c>
      <c r="K86" s="303">
        <v>227.471</v>
      </c>
      <c r="L86" s="303">
        <v>340.93299999999999</v>
      </c>
      <c r="M86" s="313">
        <v>525.34166000000005</v>
      </c>
      <c r="N86" s="314">
        <v>209.93370999999999</v>
      </c>
      <c r="O86" s="317">
        <v>315.40795000000003</v>
      </c>
      <c r="P86" s="319">
        <f>M86/F86</f>
        <v>15.009761714285716</v>
      </c>
    </row>
    <row r="87" spans="1:16" s="117" customFormat="1">
      <c r="A87" s="302">
        <f t="shared" si="1"/>
        <v>81</v>
      </c>
      <c r="B87" s="116" t="s">
        <v>74</v>
      </c>
      <c r="C87" s="116" t="s">
        <v>71</v>
      </c>
      <c r="D87" s="145">
        <v>12</v>
      </c>
      <c r="E87" s="145"/>
      <c r="F87" s="303">
        <f>[3]МКД!$H$90</f>
        <v>8</v>
      </c>
      <c r="G87" s="307">
        <f>H87+I87</f>
        <v>102.426</v>
      </c>
      <c r="H87" s="307">
        <v>17.588999999999999</v>
      </c>
      <c r="I87" s="307">
        <v>84.837000000000003</v>
      </c>
      <c r="J87" s="308">
        <f>K87+L87</f>
        <v>121.833</v>
      </c>
      <c r="K87" s="309">
        <v>21.414000000000001</v>
      </c>
      <c r="L87" s="309">
        <v>100.419</v>
      </c>
      <c r="M87" s="313">
        <v>119.27898999999999</v>
      </c>
      <c r="N87" s="314">
        <v>26.261340000000001</v>
      </c>
      <c r="O87" s="317">
        <v>93.017649999999989</v>
      </c>
      <c r="P87" s="319">
        <f>M87/F87</f>
        <v>14.909873749999999</v>
      </c>
    </row>
    <row r="88" spans="1:16" s="117" customFormat="1">
      <c r="A88" s="302">
        <f t="shared" si="1"/>
        <v>82</v>
      </c>
      <c r="B88" s="116" t="s">
        <v>74</v>
      </c>
      <c r="C88" s="116" t="s">
        <v>94</v>
      </c>
      <c r="D88" s="145">
        <v>43</v>
      </c>
      <c r="E88" s="145" t="s">
        <v>17</v>
      </c>
      <c r="F88" s="303">
        <f>[1]МКД!$H$339</f>
        <v>12</v>
      </c>
      <c r="G88" s="307">
        <f>H88+I88</f>
        <v>160.392</v>
      </c>
      <c r="H88" s="307">
        <v>52.786000000000001</v>
      </c>
      <c r="I88" s="307">
        <v>107.60599999999999</v>
      </c>
      <c r="J88" s="308">
        <f>K88+L88</f>
        <v>171.91399999999999</v>
      </c>
      <c r="K88" s="309">
        <v>59.206000000000003</v>
      </c>
      <c r="L88" s="309">
        <v>112.708</v>
      </c>
      <c r="M88" s="313">
        <v>174.88454000000002</v>
      </c>
      <c r="N88" s="314">
        <v>65.176670000000001</v>
      </c>
      <c r="O88" s="317">
        <v>109.70787</v>
      </c>
      <c r="P88" s="319">
        <f>M88/F88</f>
        <v>14.573711666666668</v>
      </c>
    </row>
    <row r="89" spans="1:16" s="117" customFormat="1">
      <c r="A89" s="302">
        <f t="shared" si="1"/>
        <v>83</v>
      </c>
      <c r="B89" s="116" t="s">
        <v>74</v>
      </c>
      <c r="C89" s="116" t="s">
        <v>84</v>
      </c>
      <c r="D89" s="145">
        <v>9</v>
      </c>
      <c r="E89" s="145"/>
      <c r="F89" s="303">
        <f>[2]МКД!$H$65</f>
        <v>12</v>
      </c>
      <c r="G89" s="307">
        <f>H89+I89</f>
        <v>173.94400000000002</v>
      </c>
      <c r="H89" s="307">
        <v>172.99600000000001</v>
      </c>
      <c r="I89" s="307">
        <v>0.94799999999999995</v>
      </c>
      <c r="J89" s="308">
        <f>K89+L89</f>
        <v>180.02600000000001</v>
      </c>
      <c r="K89" s="309">
        <v>178.989</v>
      </c>
      <c r="L89" s="309">
        <v>1.0369999999999999</v>
      </c>
      <c r="M89" s="313">
        <v>174.33790999999999</v>
      </c>
      <c r="N89" s="314">
        <v>173.30888999999999</v>
      </c>
      <c r="O89" s="317">
        <v>1.02902</v>
      </c>
      <c r="P89" s="319">
        <f>M89/F89</f>
        <v>14.528159166666667</v>
      </c>
    </row>
    <row r="90" spans="1:16" s="117" customFormat="1">
      <c r="A90" s="302">
        <f t="shared" si="1"/>
        <v>84</v>
      </c>
      <c r="B90" s="116" t="s">
        <v>74</v>
      </c>
      <c r="C90" s="116" t="s">
        <v>77</v>
      </c>
      <c r="D90" s="145">
        <v>1</v>
      </c>
      <c r="E90" s="145"/>
      <c r="F90" s="303">
        <f>[2]МКД!$H$7</f>
        <v>16</v>
      </c>
      <c r="G90" s="307">
        <f>H90+I90</f>
        <v>213.62299999999999</v>
      </c>
      <c r="H90" s="307">
        <v>66.037999999999997</v>
      </c>
      <c r="I90" s="307">
        <v>147.58500000000001</v>
      </c>
      <c r="J90" s="308">
        <f>K90+L90</f>
        <v>250.70299999999997</v>
      </c>
      <c r="K90" s="309">
        <v>67.95</v>
      </c>
      <c r="L90" s="309">
        <v>182.75299999999999</v>
      </c>
      <c r="M90" s="313">
        <v>225.10773</v>
      </c>
      <c r="N90" s="314">
        <v>63.548169999999999</v>
      </c>
      <c r="O90" s="317">
        <v>161.55956</v>
      </c>
      <c r="P90" s="319">
        <f>M90/F90</f>
        <v>14.069233125</v>
      </c>
    </row>
    <row r="91" spans="1:16" s="117" customFormat="1">
      <c r="A91" s="302">
        <f t="shared" si="1"/>
        <v>85</v>
      </c>
      <c r="B91" s="116" t="s">
        <v>74</v>
      </c>
      <c r="C91" s="116" t="s">
        <v>77</v>
      </c>
      <c r="D91" s="145">
        <v>14</v>
      </c>
      <c r="E91" s="145"/>
      <c r="F91" s="303">
        <f>[2]МКД!$H$15</f>
        <v>24</v>
      </c>
      <c r="G91" s="307">
        <f>H91+I91</f>
        <v>345.59399999999999</v>
      </c>
      <c r="H91" s="307">
        <v>154.88399999999999</v>
      </c>
      <c r="I91" s="307">
        <v>190.71</v>
      </c>
      <c r="J91" s="308">
        <f>K91+L91</f>
        <v>326.13499999999999</v>
      </c>
      <c r="K91" s="309">
        <v>95.108999999999995</v>
      </c>
      <c r="L91" s="309">
        <v>231.02600000000001</v>
      </c>
      <c r="M91" s="313">
        <v>335.53447</v>
      </c>
      <c r="N91" s="314">
        <v>91.327389999999994</v>
      </c>
      <c r="O91" s="317">
        <v>244.20708000000002</v>
      </c>
      <c r="P91" s="319">
        <f>M91/F91</f>
        <v>13.980602916666667</v>
      </c>
    </row>
    <row r="92" spans="1:16" s="117" customFormat="1">
      <c r="A92" s="302">
        <f t="shared" si="1"/>
        <v>86</v>
      </c>
      <c r="B92" s="116" t="s">
        <v>74</v>
      </c>
      <c r="C92" s="116" t="s">
        <v>95</v>
      </c>
      <c r="D92" s="145">
        <v>5</v>
      </c>
      <c r="E92" s="145"/>
      <c r="F92" s="303">
        <f>[3]МКД!$H$164</f>
        <v>12</v>
      </c>
      <c r="G92" s="307">
        <f>H92+I92</f>
        <v>143.595</v>
      </c>
      <c r="H92" s="307">
        <v>48.593000000000004</v>
      </c>
      <c r="I92" s="307">
        <v>95.001999999999995</v>
      </c>
      <c r="J92" s="308">
        <f>K92+L92</f>
        <v>150.90700000000001</v>
      </c>
      <c r="K92" s="309">
        <v>52.222000000000001</v>
      </c>
      <c r="L92" s="309">
        <v>98.685000000000002</v>
      </c>
      <c r="M92" s="313">
        <v>167.76171000000002</v>
      </c>
      <c r="N92" s="314">
        <v>55.457140000000003</v>
      </c>
      <c r="O92" s="317">
        <v>112.30457000000001</v>
      </c>
      <c r="P92" s="319">
        <f>M92/F92</f>
        <v>13.980142500000001</v>
      </c>
    </row>
    <row r="93" spans="1:16" s="117" customFormat="1">
      <c r="A93" s="302">
        <f t="shared" si="1"/>
        <v>87</v>
      </c>
      <c r="B93" s="116" t="s">
        <v>74</v>
      </c>
      <c r="C93" s="116" t="s">
        <v>86</v>
      </c>
      <c r="D93" s="145">
        <v>21</v>
      </c>
      <c r="E93" s="145" t="s">
        <v>78</v>
      </c>
      <c r="F93" s="303">
        <f>[3]МКД!$H$111</f>
        <v>12</v>
      </c>
      <c r="G93" s="307">
        <f>H93+I93</f>
        <v>221.65600000000001</v>
      </c>
      <c r="H93" s="307">
        <v>72.358999999999995</v>
      </c>
      <c r="I93" s="307">
        <v>149.297</v>
      </c>
      <c r="J93" s="308">
        <f>K93+L93</f>
        <v>179.47800000000001</v>
      </c>
      <c r="K93" s="309">
        <v>63.716999999999999</v>
      </c>
      <c r="L93" s="309">
        <v>115.761</v>
      </c>
      <c r="M93" s="313">
        <v>166.02941999999999</v>
      </c>
      <c r="N93" s="314">
        <v>55.996679999999991</v>
      </c>
      <c r="O93" s="317">
        <v>110.03274</v>
      </c>
      <c r="P93" s="319">
        <f>M93/F93</f>
        <v>13.835785</v>
      </c>
    </row>
    <row r="94" spans="1:16" s="117" customFormat="1">
      <c r="A94" s="302">
        <f t="shared" si="1"/>
        <v>88</v>
      </c>
      <c r="B94" s="116" t="s">
        <v>74</v>
      </c>
      <c r="C94" s="116" t="s">
        <v>95</v>
      </c>
      <c r="D94" s="145">
        <v>3</v>
      </c>
      <c r="E94" s="145"/>
      <c r="F94" s="303">
        <f>[3]МКД!$H$161</f>
        <v>16</v>
      </c>
      <c r="G94" s="307">
        <f>H94+I94</f>
        <v>197.65199999999999</v>
      </c>
      <c r="H94" s="307">
        <v>89.19</v>
      </c>
      <c r="I94" s="307">
        <v>108.462</v>
      </c>
      <c r="J94" s="308">
        <f>K94+L94</f>
        <v>227.31599999999997</v>
      </c>
      <c r="K94" s="309">
        <v>100.47799999999999</v>
      </c>
      <c r="L94" s="309">
        <v>126.83799999999999</v>
      </c>
      <c r="M94" s="313">
        <v>220.73453000000001</v>
      </c>
      <c r="N94" s="314">
        <v>88.076350000000005</v>
      </c>
      <c r="O94" s="317">
        <v>132.65817999999999</v>
      </c>
      <c r="P94" s="319">
        <f>M94/F94</f>
        <v>13.795908125</v>
      </c>
    </row>
    <row r="95" spans="1:16" s="117" customFormat="1">
      <c r="A95" s="302">
        <f t="shared" si="1"/>
        <v>89</v>
      </c>
      <c r="B95" s="116" t="s">
        <v>74</v>
      </c>
      <c r="C95" s="116" t="s">
        <v>67</v>
      </c>
      <c r="D95" s="145">
        <v>5</v>
      </c>
      <c r="E95" s="145"/>
      <c r="F95" s="303">
        <f>[2]МКД!$H$24</f>
        <v>24</v>
      </c>
      <c r="G95" s="307">
        <f>H95+I95</f>
        <v>306.762</v>
      </c>
      <c r="H95" s="307">
        <v>0</v>
      </c>
      <c r="I95" s="307">
        <v>306.762</v>
      </c>
      <c r="J95" s="308">
        <f>K95+L95</f>
        <v>303.91600000000005</v>
      </c>
      <c r="K95" s="309">
        <v>-51.518000000000001</v>
      </c>
      <c r="L95" s="309">
        <v>355.43400000000003</v>
      </c>
      <c r="M95" s="313">
        <v>326.79069000000004</v>
      </c>
      <c r="N95" s="314">
        <v>-45.043620000000011</v>
      </c>
      <c r="O95" s="317">
        <v>371.83431000000007</v>
      </c>
      <c r="P95" s="319">
        <f>M95/F95</f>
        <v>13.616278750000001</v>
      </c>
    </row>
    <row r="96" spans="1:16" s="117" customFormat="1">
      <c r="A96" s="302">
        <f t="shared" si="1"/>
        <v>90</v>
      </c>
      <c r="B96" s="116" t="s">
        <v>74</v>
      </c>
      <c r="C96" s="116" t="s">
        <v>90</v>
      </c>
      <c r="D96" s="145">
        <v>5</v>
      </c>
      <c r="E96" s="145" t="s">
        <v>17</v>
      </c>
      <c r="F96" s="303">
        <f>[3]МКД!$H$135</f>
        <v>12</v>
      </c>
      <c r="G96" s="307">
        <f>H96+I96</f>
        <v>155.22399999999999</v>
      </c>
      <c r="H96" s="307">
        <v>104.298</v>
      </c>
      <c r="I96" s="307">
        <v>50.926000000000002</v>
      </c>
      <c r="J96" s="308">
        <f>K96+L96</f>
        <v>164.79300000000001</v>
      </c>
      <c r="K96" s="309">
        <v>112.393</v>
      </c>
      <c r="L96" s="309">
        <v>52.4</v>
      </c>
      <c r="M96" s="313">
        <v>162.94226</v>
      </c>
      <c r="N96" s="314">
        <v>112.04027000000001</v>
      </c>
      <c r="O96" s="317">
        <v>50.901989999999998</v>
      </c>
      <c r="P96" s="319">
        <f>M96/F96</f>
        <v>13.578521666666667</v>
      </c>
    </row>
    <row r="97" spans="1:16" s="117" customFormat="1">
      <c r="A97" s="302">
        <f t="shared" si="1"/>
        <v>91</v>
      </c>
      <c r="B97" s="116" t="s">
        <v>74</v>
      </c>
      <c r="C97" s="116" t="s">
        <v>72</v>
      </c>
      <c r="D97" s="145">
        <v>3</v>
      </c>
      <c r="E97" s="145" t="s">
        <v>18</v>
      </c>
      <c r="F97" s="303">
        <f>[3]МКД!$H$123</f>
        <v>126</v>
      </c>
      <c r="G97" s="307">
        <f>H97+I97</f>
        <v>1484.3</v>
      </c>
      <c r="H97" s="307">
        <v>1012.893</v>
      </c>
      <c r="I97" s="307">
        <v>471.40699999999998</v>
      </c>
      <c r="J97" s="308">
        <f>K97+L97</f>
        <v>1737.558</v>
      </c>
      <c r="K97" s="309">
        <v>1152.739</v>
      </c>
      <c r="L97" s="309">
        <v>584.81899999999996</v>
      </c>
      <c r="M97" s="313">
        <v>1693.79</v>
      </c>
      <c r="N97" s="314">
        <v>1055.54</v>
      </c>
      <c r="O97" s="317">
        <v>638.25</v>
      </c>
      <c r="P97" s="319">
        <f>M97/F97</f>
        <v>13.442777777777778</v>
      </c>
    </row>
    <row r="98" spans="1:16" s="117" customFormat="1">
      <c r="A98" s="302">
        <f t="shared" si="1"/>
        <v>92</v>
      </c>
      <c r="B98" s="116" t="s">
        <v>74</v>
      </c>
      <c r="C98" s="116" t="s">
        <v>88</v>
      </c>
      <c r="D98" s="145">
        <v>6</v>
      </c>
      <c r="E98" s="145"/>
      <c r="F98" s="303">
        <f>[3]МКД!$H$129</f>
        <v>8</v>
      </c>
      <c r="G98" s="307">
        <f>H98+I98</f>
        <v>105.879</v>
      </c>
      <c r="H98" s="307">
        <v>105.123</v>
      </c>
      <c r="I98" s="307">
        <v>0.75600000000000001</v>
      </c>
      <c r="J98" s="308">
        <f>K98+L98</f>
        <v>103.813</v>
      </c>
      <c r="K98" s="309">
        <v>102.98</v>
      </c>
      <c r="L98" s="309">
        <v>0.83299999999999996</v>
      </c>
      <c r="M98" s="313">
        <v>105.31936999999999</v>
      </c>
      <c r="N98" s="314">
        <v>104.65441</v>
      </c>
      <c r="O98" s="317">
        <v>0.66496</v>
      </c>
      <c r="P98" s="319">
        <f>M98/F98</f>
        <v>13.164921249999999</v>
      </c>
    </row>
    <row r="99" spans="1:16" s="117" customFormat="1">
      <c r="A99" s="302">
        <f t="shared" si="1"/>
        <v>93</v>
      </c>
      <c r="B99" s="116" t="s">
        <v>74</v>
      </c>
      <c r="C99" s="116" t="s">
        <v>77</v>
      </c>
      <c r="D99" s="145">
        <v>2</v>
      </c>
      <c r="E99" s="145"/>
      <c r="F99" s="303">
        <f>[2]МКД!$H$8</f>
        <v>16</v>
      </c>
      <c r="G99" s="307">
        <f>H99+I99</f>
        <v>191.27199999999999</v>
      </c>
      <c r="H99" s="307">
        <v>48.768000000000001</v>
      </c>
      <c r="I99" s="307">
        <v>142.50399999999999</v>
      </c>
      <c r="J99" s="308">
        <f>K99+L99</f>
        <v>211.768</v>
      </c>
      <c r="K99" s="309">
        <v>53.901000000000003</v>
      </c>
      <c r="L99" s="309">
        <v>157.86699999999999</v>
      </c>
      <c r="M99" s="313">
        <v>206.95105000000001</v>
      </c>
      <c r="N99" s="314">
        <v>55.560879999999997</v>
      </c>
      <c r="O99" s="317">
        <v>151.39017000000001</v>
      </c>
      <c r="P99" s="319">
        <f>M99/F99</f>
        <v>12.934440625000001</v>
      </c>
    </row>
    <row r="100" spans="1:16" s="117" customFormat="1">
      <c r="A100" s="302">
        <f t="shared" si="1"/>
        <v>94</v>
      </c>
      <c r="B100" s="116" t="s">
        <v>74</v>
      </c>
      <c r="C100" s="116" t="s">
        <v>16</v>
      </c>
      <c r="D100" s="145">
        <v>54</v>
      </c>
      <c r="E100" s="145"/>
      <c r="F100" s="303">
        <f>[2]МКД!$H$59</f>
        <v>12</v>
      </c>
      <c r="G100" s="307">
        <f>H100+I100</f>
        <v>143.65199999999999</v>
      </c>
      <c r="H100" s="307">
        <v>142.23099999999999</v>
      </c>
      <c r="I100" s="307">
        <v>1.421</v>
      </c>
      <c r="J100" s="308">
        <f>K100+L100</f>
        <v>146.09200000000001</v>
      </c>
      <c r="K100" s="309">
        <v>144.74700000000001</v>
      </c>
      <c r="L100" s="309">
        <v>1.345</v>
      </c>
      <c r="M100" s="313">
        <v>149.44424000000004</v>
      </c>
      <c r="N100" s="314">
        <v>148.06177000000002</v>
      </c>
      <c r="O100" s="317">
        <v>1.3824699999999999</v>
      </c>
      <c r="P100" s="319">
        <f>M100/F100</f>
        <v>12.45368666666667</v>
      </c>
    </row>
    <row r="101" spans="1:16" s="117" customFormat="1">
      <c r="A101" s="302">
        <f t="shared" si="1"/>
        <v>95</v>
      </c>
      <c r="B101" s="116" t="s">
        <v>74</v>
      </c>
      <c r="C101" s="116" t="s">
        <v>35</v>
      </c>
      <c r="D101" s="145">
        <v>20</v>
      </c>
      <c r="E101" s="145"/>
      <c r="F101" s="303">
        <f>[3]МКД!$H$97</f>
        <v>8</v>
      </c>
      <c r="G101" s="307">
        <f>H101+I101</f>
        <v>84.11099999999999</v>
      </c>
      <c r="H101" s="307">
        <v>35.155999999999999</v>
      </c>
      <c r="I101" s="307">
        <v>48.954999999999998</v>
      </c>
      <c r="J101" s="308">
        <f>K101+L101</f>
        <v>102.185</v>
      </c>
      <c r="K101" s="309">
        <v>41.874000000000002</v>
      </c>
      <c r="L101" s="309">
        <v>60.311</v>
      </c>
      <c r="M101" s="313">
        <v>99.093159999999997</v>
      </c>
      <c r="N101" s="314">
        <v>41.901199999999996</v>
      </c>
      <c r="O101" s="317">
        <v>57.191960000000002</v>
      </c>
      <c r="P101" s="319">
        <f>M101/F101</f>
        <v>12.386645</v>
      </c>
    </row>
    <row r="102" spans="1:16" s="117" customFormat="1">
      <c r="A102" s="302">
        <f t="shared" si="1"/>
        <v>96</v>
      </c>
      <c r="B102" s="116" t="s">
        <v>74</v>
      </c>
      <c r="C102" s="116" t="s">
        <v>90</v>
      </c>
      <c r="D102" s="145">
        <v>3</v>
      </c>
      <c r="E102" s="145" t="s">
        <v>17</v>
      </c>
      <c r="F102" s="303">
        <f>[3]МКД!$H$134</f>
        <v>12</v>
      </c>
      <c r="G102" s="307">
        <f>H102+I102</f>
        <v>138.79900000000001</v>
      </c>
      <c r="H102" s="307">
        <v>50.890999999999998</v>
      </c>
      <c r="I102" s="307">
        <v>87.908000000000001</v>
      </c>
      <c r="J102" s="308">
        <f>K102+L102</f>
        <v>135.101</v>
      </c>
      <c r="K102" s="309">
        <v>50.319000000000003</v>
      </c>
      <c r="L102" s="309">
        <v>84.781999999999996</v>
      </c>
      <c r="M102" s="313">
        <v>147.51528999999999</v>
      </c>
      <c r="N102" s="314">
        <v>57.039790000000004</v>
      </c>
      <c r="O102" s="317">
        <v>90.475499999999997</v>
      </c>
      <c r="P102" s="319">
        <f>M102/F102</f>
        <v>12.292940833333333</v>
      </c>
    </row>
    <row r="103" spans="1:16" s="117" customFormat="1">
      <c r="A103" s="302">
        <f t="shared" si="1"/>
        <v>97</v>
      </c>
      <c r="B103" s="116" t="s">
        <v>74</v>
      </c>
      <c r="C103" s="116" t="s">
        <v>79</v>
      </c>
      <c r="D103" s="145">
        <v>14</v>
      </c>
      <c r="E103" s="145"/>
      <c r="F103" s="303">
        <f>[1]МКД!$H$235</f>
        <v>8</v>
      </c>
      <c r="G103" s="307">
        <f>H103+I103</f>
        <v>79.448000000000008</v>
      </c>
      <c r="H103" s="307">
        <v>78.87</v>
      </c>
      <c r="I103" s="307">
        <v>0.57799999999999996</v>
      </c>
      <c r="J103" s="308">
        <f>K103+L103</f>
        <v>94.173000000000002</v>
      </c>
      <c r="K103" s="309">
        <v>93.411000000000001</v>
      </c>
      <c r="L103" s="309">
        <v>0.76200000000000001</v>
      </c>
      <c r="M103" s="313">
        <v>95.359800000000007</v>
      </c>
      <c r="N103" s="314">
        <v>94.514020000000002</v>
      </c>
      <c r="O103" s="317">
        <v>0.84577999999999998</v>
      </c>
      <c r="P103" s="319">
        <f>M103/F103</f>
        <v>11.919975000000001</v>
      </c>
    </row>
    <row r="104" spans="1:16" s="117" customFormat="1">
      <c r="A104" s="302">
        <f t="shared" si="1"/>
        <v>98</v>
      </c>
      <c r="B104" s="116" t="s">
        <v>74</v>
      </c>
      <c r="C104" s="116" t="s">
        <v>34</v>
      </c>
      <c r="D104" s="145">
        <v>9</v>
      </c>
      <c r="E104" s="145" t="s">
        <v>17</v>
      </c>
      <c r="F104" s="303">
        <f>[3]МКД!$H$79</f>
        <v>12</v>
      </c>
      <c r="G104" s="307">
        <f>H104+I104</f>
        <v>123.58800000000001</v>
      </c>
      <c r="H104" s="307">
        <v>53.536000000000001</v>
      </c>
      <c r="I104" s="307">
        <v>70.052000000000007</v>
      </c>
      <c r="J104" s="308">
        <f>K104+L104</f>
        <v>125.17</v>
      </c>
      <c r="K104" s="309">
        <v>58.39</v>
      </c>
      <c r="L104" s="309">
        <v>66.78</v>
      </c>
      <c r="M104" s="313">
        <v>137.47955000000002</v>
      </c>
      <c r="N104" s="314">
        <v>61.084230000000005</v>
      </c>
      <c r="O104" s="317">
        <v>76.395320000000012</v>
      </c>
      <c r="P104" s="319">
        <f>M104/F104</f>
        <v>11.456629166666668</v>
      </c>
    </row>
    <row r="105" spans="1:16" s="117" customFormat="1">
      <c r="A105" s="302">
        <f t="shared" si="1"/>
        <v>99</v>
      </c>
      <c r="B105" s="116" t="s">
        <v>74</v>
      </c>
      <c r="C105" s="116" t="s">
        <v>16</v>
      </c>
      <c r="D105" s="145">
        <v>47</v>
      </c>
      <c r="E105" s="145" t="s">
        <v>17</v>
      </c>
      <c r="F105" s="303">
        <f>[2]МКД!$H$53</f>
        <v>12</v>
      </c>
      <c r="G105" s="307">
        <f>H105+I105</f>
        <v>145.59799999999998</v>
      </c>
      <c r="H105" s="307">
        <v>168.33199999999999</v>
      </c>
      <c r="I105" s="307">
        <v>-22.734000000000002</v>
      </c>
      <c r="J105" s="308">
        <f>K105+L105</f>
        <v>148.34800000000001</v>
      </c>
      <c r="K105" s="309">
        <v>171.053</v>
      </c>
      <c r="L105" s="309">
        <v>-22.704999999999998</v>
      </c>
      <c r="M105" s="313">
        <v>136.45323000000002</v>
      </c>
      <c r="N105" s="314">
        <v>158.87585000000001</v>
      </c>
      <c r="O105" s="317">
        <v>-22.422619999999998</v>
      </c>
      <c r="P105" s="319">
        <f>M105/F105</f>
        <v>11.371102500000001</v>
      </c>
    </row>
    <row r="106" spans="1:16" s="117" customFormat="1">
      <c r="A106" s="302">
        <f t="shared" si="1"/>
        <v>100</v>
      </c>
      <c r="B106" s="116" t="s">
        <v>74</v>
      </c>
      <c r="C106" s="116" t="s">
        <v>81</v>
      </c>
      <c r="D106" s="145">
        <v>9</v>
      </c>
      <c r="E106" s="145"/>
      <c r="F106" s="303">
        <f>[2]МКД!$H$40</f>
        <v>12</v>
      </c>
      <c r="G106" s="307">
        <f>H106+I106</f>
        <v>175.607</v>
      </c>
      <c r="H106" s="307">
        <v>131.749</v>
      </c>
      <c r="I106" s="307">
        <v>43.857999999999997</v>
      </c>
      <c r="J106" s="308">
        <f>K106+L106</f>
        <v>175.43100000000001</v>
      </c>
      <c r="K106" s="309">
        <v>135.49700000000001</v>
      </c>
      <c r="L106" s="309">
        <v>39.933999999999997</v>
      </c>
      <c r="M106" s="313">
        <v>133.67651999999998</v>
      </c>
      <c r="N106" s="314">
        <v>116.18944999999999</v>
      </c>
      <c r="O106" s="317">
        <v>17.487069999999999</v>
      </c>
      <c r="P106" s="319">
        <f>M106/F106</f>
        <v>11.139709999999999</v>
      </c>
    </row>
    <row r="107" spans="1:16" s="117" customFormat="1">
      <c r="A107" s="302">
        <f t="shared" si="1"/>
        <v>101</v>
      </c>
      <c r="B107" s="116" t="s">
        <v>74</v>
      </c>
      <c r="C107" s="116" t="s">
        <v>77</v>
      </c>
      <c r="D107" s="145">
        <v>48</v>
      </c>
      <c r="E107" s="145" t="s">
        <v>78</v>
      </c>
      <c r="F107" s="303">
        <f>[2]МКД!$H$21</f>
        <v>12</v>
      </c>
      <c r="G107" s="307">
        <f>H107+I107</f>
        <v>119.026</v>
      </c>
      <c r="H107" s="307">
        <v>73.238</v>
      </c>
      <c r="I107" s="307">
        <v>45.787999999999997</v>
      </c>
      <c r="J107" s="308">
        <f>K107+L107</f>
        <v>135.023</v>
      </c>
      <c r="K107" s="309">
        <v>81.658000000000001</v>
      </c>
      <c r="L107" s="309">
        <v>53.365000000000002</v>
      </c>
      <c r="M107" s="313">
        <v>133.09188999999998</v>
      </c>
      <c r="N107" s="314">
        <v>77.179949999999991</v>
      </c>
      <c r="O107" s="317">
        <v>55.911940000000001</v>
      </c>
      <c r="P107" s="319">
        <f>M107/F107</f>
        <v>11.090990833333331</v>
      </c>
    </row>
    <row r="108" spans="1:16" s="117" customFormat="1">
      <c r="A108" s="302">
        <f t="shared" si="1"/>
        <v>102</v>
      </c>
      <c r="B108" s="116" t="s">
        <v>74</v>
      </c>
      <c r="C108" s="116" t="s">
        <v>16</v>
      </c>
      <c r="D108" s="145">
        <v>26</v>
      </c>
      <c r="E108" s="145"/>
      <c r="F108" s="303">
        <f>[2]МКД!$H$48</f>
        <v>12</v>
      </c>
      <c r="G108" s="307">
        <f>H108+I108</f>
        <v>109.22199999999999</v>
      </c>
      <c r="H108" s="307">
        <v>58.235999999999997</v>
      </c>
      <c r="I108" s="307">
        <v>50.985999999999997</v>
      </c>
      <c r="J108" s="308">
        <f>K108+L108</f>
        <v>125.249</v>
      </c>
      <c r="K108" s="309">
        <v>65.099999999999994</v>
      </c>
      <c r="L108" s="309">
        <v>60.149000000000001</v>
      </c>
      <c r="M108" s="313">
        <v>125.72228999999999</v>
      </c>
      <c r="N108" s="314">
        <v>67.241919999999993</v>
      </c>
      <c r="O108" s="317">
        <v>58.480369999999994</v>
      </c>
      <c r="P108" s="319">
        <f>M108/F108</f>
        <v>10.476857499999999</v>
      </c>
    </row>
    <row r="109" spans="1:16" s="117" customFormat="1">
      <c r="A109" s="302">
        <f t="shared" si="1"/>
        <v>103</v>
      </c>
      <c r="B109" s="116" t="s">
        <v>74</v>
      </c>
      <c r="C109" s="116" t="s">
        <v>81</v>
      </c>
      <c r="D109" s="145">
        <v>13</v>
      </c>
      <c r="E109" s="145"/>
      <c r="F109" s="303">
        <f>[2]МКД!$H$44</f>
        <v>12</v>
      </c>
      <c r="G109" s="307">
        <f>H109+I109</f>
        <v>108.863</v>
      </c>
      <c r="H109" s="307">
        <v>27.951000000000001</v>
      </c>
      <c r="I109" s="307">
        <v>80.912000000000006</v>
      </c>
      <c r="J109" s="308">
        <f>K109+L109</f>
        <v>104.124</v>
      </c>
      <c r="K109" s="309">
        <v>27.765000000000001</v>
      </c>
      <c r="L109" s="309">
        <v>76.358999999999995</v>
      </c>
      <c r="M109" s="313">
        <v>124.88292999999999</v>
      </c>
      <c r="N109" s="314">
        <v>33.330620000000003</v>
      </c>
      <c r="O109" s="317">
        <v>91.552309999999991</v>
      </c>
      <c r="P109" s="319">
        <f>M109/F109</f>
        <v>10.406910833333333</v>
      </c>
    </row>
    <row r="110" spans="1:16" s="117" customFormat="1">
      <c r="A110" s="302">
        <f t="shared" si="1"/>
        <v>104</v>
      </c>
      <c r="B110" s="116" t="s">
        <v>74</v>
      </c>
      <c r="C110" s="116" t="s">
        <v>94</v>
      </c>
      <c r="D110" s="145">
        <v>35</v>
      </c>
      <c r="E110" s="145"/>
      <c r="F110" s="303">
        <f>[3]МКД!$H$150</f>
        <v>12</v>
      </c>
      <c r="G110" s="307">
        <f>H110+I110</f>
        <v>83.89</v>
      </c>
      <c r="H110" s="307">
        <v>23.896999999999998</v>
      </c>
      <c r="I110" s="307">
        <v>59.993000000000002</v>
      </c>
      <c r="J110" s="308">
        <f>K110+L110</f>
        <v>115.185</v>
      </c>
      <c r="K110" s="309">
        <v>29.942</v>
      </c>
      <c r="L110" s="309">
        <v>85.242999999999995</v>
      </c>
      <c r="M110" s="313">
        <v>123.32914</v>
      </c>
      <c r="N110" s="314">
        <v>32.489209999999993</v>
      </c>
      <c r="O110" s="317">
        <v>90.839929999999995</v>
      </c>
      <c r="P110" s="319">
        <f>M110/F110</f>
        <v>10.277428333333333</v>
      </c>
    </row>
    <row r="111" spans="1:16" s="117" customFormat="1">
      <c r="A111" s="302">
        <f t="shared" si="1"/>
        <v>105</v>
      </c>
      <c r="B111" s="116" t="s">
        <v>74</v>
      </c>
      <c r="C111" s="116" t="s">
        <v>86</v>
      </c>
      <c r="D111" s="145">
        <v>20</v>
      </c>
      <c r="E111" s="145"/>
      <c r="F111" s="303">
        <f>[3]МКД!$H$108</f>
        <v>12</v>
      </c>
      <c r="G111" s="307">
        <f>H111+I111</f>
        <v>93.204000000000008</v>
      </c>
      <c r="H111" s="307">
        <v>34.76</v>
      </c>
      <c r="I111" s="307">
        <v>58.444000000000003</v>
      </c>
      <c r="J111" s="308">
        <f>K111+L111</f>
        <v>114.51599999999999</v>
      </c>
      <c r="K111" s="309">
        <v>39.76</v>
      </c>
      <c r="L111" s="309">
        <v>74.756</v>
      </c>
      <c r="M111" s="313">
        <v>120.74428</v>
      </c>
      <c r="N111" s="314">
        <v>40.759070000000001</v>
      </c>
      <c r="O111" s="317">
        <v>79.985210000000009</v>
      </c>
      <c r="P111" s="319">
        <f>M111/F111</f>
        <v>10.062023333333334</v>
      </c>
    </row>
    <row r="112" spans="1:16" s="117" customFormat="1">
      <c r="A112" s="302">
        <f t="shared" si="1"/>
        <v>106</v>
      </c>
      <c r="B112" s="116" t="s">
        <v>74</v>
      </c>
      <c r="C112" s="116" t="s">
        <v>16</v>
      </c>
      <c r="D112" s="145">
        <v>43</v>
      </c>
      <c r="E112" s="145"/>
      <c r="F112" s="303">
        <f>[2]МКД!$H$50</f>
        <v>12</v>
      </c>
      <c r="G112" s="307">
        <f>H112+I112</f>
        <v>111.20399999999999</v>
      </c>
      <c r="H112" s="307">
        <v>107.44</v>
      </c>
      <c r="I112" s="307">
        <v>3.7639999999999998</v>
      </c>
      <c r="J112" s="308">
        <f>K112+L112</f>
        <v>117.83199999999999</v>
      </c>
      <c r="K112" s="309">
        <v>113.735</v>
      </c>
      <c r="L112" s="309">
        <v>4.0970000000000004</v>
      </c>
      <c r="M112" s="313">
        <v>119.82041999999998</v>
      </c>
      <c r="N112" s="314">
        <v>115.52969999999999</v>
      </c>
      <c r="O112" s="317">
        <v>4.2907199999999994</v>
      </c>
      <c r="P112" s="319">
        <f>M112/F112</f>
        <v>9.9850349999999981</v>
      </c>
    </row>
    <row r="113" spans="1:16" s="117" customFormat="1">
      <c r="A113" s="302">
        <f t="shared" si="1"/>
        <v>107</v>
      </c>
      <c r="B113" s="116" t="s">
        <v>74</v>
      </c>
      <c r="C113" s="116" t="s">
        <v>93</v>
      </c>
      <c r="D113" s="145">
        <v>34</v>
      </c>
      <c r="E113" s="145" t="s">
        <v>17</v>
      </c>
      <c r="F113" s="303">
        <f>[3]МКД!$H$144</f>
        <v>12</v>
      </c>
      <c r="G113" s="307">
        <f>H113+I113</f>
        <v>104.102</v>
      </c>
      <c r="H113" s="307">
        <v>15.849</v>
      </c>
      <c r="I113" s="307">
        <v>88.253</v>
      </c>
      <c r="J113" s="308">
        <f>K113+L113</f>
        <v>116.67100000000001</v>
      </c>
      <c r="K113" s="309">
        <v>21.977</v>
      </c>
      <c r="L113" s="309">
        <v>94.694000000000003</v>
      </c>
      <c r="M113" s="313">
        <v>118.12710999999999</v>
      </c>
      <c r="N113" s="314">
        <v>21.1265</v>
      </c>
      <c r="O113" s="317">
        <v>97.000609999999995</v>
      </c>
      <c r="P113" s="319">
        <f>M113/F113</f>
        <v>9.8439258333333317</v>
      </c>
    </row>
    <row r="114" spans="1:16" s="117" customFormat="1">
      <c r="A114" s="302">
        <f t="shared" si="1"/>
        <v>108</v>
      </c>
      <c r="B114" s="116" t="s">
        <v>74</v>
      </c>
      <c r="C114" s="116" t="s">
        <v>77</v>
      </c>
      <c r="D114" s="145">
        <v>43</v>
      </c>
      <c r="E114" s="145" t="s">
        <v>17</v>
      </c>
      <c r="F114" s="303">
        <f>[2]МКД!$H$17</f>
        <v>12</v>
      </c>
      <c r="G114" s="307">
        <f>H114+I114</f>
        <v>99.388000000000005</v>
      </c>
      <c r="H114" s="307">
        <v>65.537000000000006</v>
      </c>
      <c r="I114" s="307">
        <v>33.850999999999999</v>
      </c>
      <c r="J114" s="308">
        <f>K114+L114</f>
        <v>112.51</v>
      </c>
      <c r="K114" s="309">
        <v>74.052000000000007</v>
      </c>
      <c r="L114" s="309">
        <v>38.457999999999998</v>
      </c>
      <c r="M114" s="313">
        <v>117.82388</v>
      </c>
      <c r="N114" s="314">
        <v>78.326669999999993</v>
      </c>
      <c r="O114" s="317">
        <v>39.497210000000003</v>
      </c>
      <c r="P114" s="319">
        <f>M114/F114</f>
        <v>9.8186566666666675</v>
      </c>
    </row>
    <row r="115" spans="1:16" s="117" customFormat="1">
      <c r="A115" s="302">
        <f t="shared" si="1"/>
        <v>109</v>
      </c>
      <c r="B115" s="116" t="s">
        <v>74</v>
      </c>
      <c r="C115" s="116" t="s">
        <v>94</v>
      </c>
      <c r="D115" s="145">
        <v>43</v>
      </c>
      <c r="E115" s="145" t="s">
        <v>18</v>
      </c>
      <c r="F115" s="303">
        <f>[3]МКД!$H$156</f>
        <v>12</v>
      </c>
      <c r="G115" s="307">
        <f>H115+I115</f>
        <v>102.093</v>
      </c>
      <c r="H115" s="307">
        <v>29.015000000000001</v>
      </c>
      <c r="I115" s="307">
        <v>73.078000000000003</v>
      </c>
      <c r="J115" s="308">
        <f>K115+L115</f>
        <v>104.99799999999999</v>
      </c>
      <c r="K115" s="309">
        <v>37.302</v>
      </c>
      <c r="L115" s="309">
        <v>67.695999999999998</v>
      </c>
      <c r="M115" s="313">
        <v>112.59752</v>
      </c>
      <c r="N115" s="314">
        <v>33.766870000000004</v>
      </c>
      <c r="O115" s="317">
        <v>78.830649999999991</v>
      </c>
      <c r="P115" s="319">
        <f>M115/F115</f>
        <v>9.3831266666666675</v>
      </c>
    </row>
    <row r="116" spans="1:16" s="117" customFormat="1">
      <c r="A116" s="302">
        <f t="shared" si="1"/>
        <v>110</v>
      </c>
      <c r="B116" s="116" t="s">
        <v>74</v>
      </c>
      <c r="C116" s="116" t="s">
        <v>72</v>
      </c>
      <c r="D116" s="145">
        <v>8</v>
      </c>
      <c r="E116" s="145" t="s">
        <v>18</v>
      </c>
      <c r="F116" s="303">
        <v>36</v>
      </c>
      <c r="G116" s="307">
        <f>H116+I116</f>
        <v>349.81299999999999</v>
      </c>
      <c r="H116" s="307">
        <v>268.20999999999998</v>
      </c>
      <c r="I116" s="307">
        <v>81.602999999999994</v>
      </c>
      <c r="J116" s="308">
        <f>K116+L116</f>
        <v>360.041</v>
      </c>
      <c r="K116" s="309">
        <v>266.17399999999998</v>
      </c>
      <c r="L116" s="309">
        <v>93.867000000000004</v>
      </c>
      <c r="M116" s="313">
        <v>336.65809999999999</v>
      </c>
      <c r="N116" s="314">
        <v>232.91935999999998</v>
      </c>
      <c r="O116" s="317">
        <v>103.73874000000001</v>
      </c>
      <c r="P116" s="319">
        <f>M116/F116</f>
        <v>9.3516138888888882</v>
      </c>
    </row>
    <row r="117" spans="1:16" s="117" customFormat="1">
      <c r="A117" s="302">
        <f t="shared" si="1"/>
        <v>111</v>
      </c>
      <c r="B117" s="116" t="s">
        <v>74</v>
      </c>
      <c r="C117" s="304" t="s">
        <v>91</v>
      </c>
      <c r="D117" s="305">
        <v>5</v>
      </c>
      <c r="E117" s="304"/>
      <c r="F117" s="303">
        <f>[3]МКД!$H$140</f>
        <v>12</v>
      </c>
      <c r="G117" s="307">
        <f>H117+I117</f>
        <v>135.273</v>
      </c>
      <c r="H117" s="307">
        <v>31.692</v>
      </c>
      <c r="I117" s="307">
        <v>103.581</v>
      </c>
      <c r="J117" s="308">
        <f>K117+L117</f>
        <v>153.28</v>
      </c>
      <c r="K117" s="309">
        <v>38.061999999999998</v>
      </c>
      <c r="L117" s="309">
        <v>115.218</v>
      </c>
      <c r="M117" s="313">
        <v>110.8776</v>
      </c>
      <c r="N117" s="314">
        <v>30.165479999999999</v>
      </c>
      <c r="O117" s="317">
        <v>80.712119999999999</v>
      </c>
      <c r="P117" s="319">
        <f>M117/F117</f>
        <v>9.2398000000000007</v>
      </c>
    </row>
    <row r="118" spans="1:16" s="117" customFormat="1">
      <c r="A118" s="302">
        <f t="shared" si="1"/>
        <v>112</v>
      </c>
      <c r="B118" s="116" t="s">
        <v>74</v>
      </c>
      <c r="C118" s="116" t="s">
        <v>34</v>
      </c>
      <c r="D118" s="145">
        <v>30</v>
      </c>
      <c r="E118" s="145"/>
      <c r="F118" s="303">
        <f>[3]МКД!$H$84</f>
        <v>8</v>
      </c>
      <c r="G118" s="307">
        <f>H118+I118</f>
        <v>73.592999999999989</v>
      </c>
      <c r="H118" s="307">
        <v>19.122</v>
      </c>
      <c r="I118" s="307">
        <v>54.470999999999997</v>
      </c>
      <c r="J118" s="308">
        <f>K118+L118</f>
        <v>86.429999999999993</v>
      </c>
      <c r="K118" s="309">
        <v>24.574999999999999</v>
      </c>
      <c r="L118" s="309">
        <v>61.854999999999997</v>
      </c>
      <c r="M118" s="313">
        <v>72.301879999999997</v>
      </c>
      <c r="N118" s="314">
        <v>16.30452</v>
      </c>
      <c r="O118" s="317">
        <v>55.99736</v>
      </c>
      <c r="P118" s="319">
        <f>M118/F118</f>
        <v>9.0377349999999996</v>
      </c>
    </row>
    <row r="119" spans="1:16" s="117" customFormat="1">
      <c r="A119" s="302">
        <f t="shared" si="1"/>
        <v>113</v>
      </c>
      <c r="B119" s="116" t="s">
        <v>74</v>
      </c>
      <c r="C119" s="116" t="s">
        <v>86</v>
      </c>
      <c r="D119" s="145">
        <v>35</v>
      </c>
      <c r="E119" s="145"/>
      <c r="F119" s="303">
        <f>[3]МКД!$H$116</f>
        <v>12</v>
      </c>
      <c r="G119" s="307">
        <f>H119+I119</f>
        <v>110.11500000000001</v>
      </c>
      <c r="H119" s="307">
        <v>30.777999999999999</v>
      </c>
      <c r="I119" s="307">
        <v>79.337000000000003</v>
      </c>
      <c r="J119" s="308">
        <f>K119+L119</f>
        <v>130.602</v>
      </c>
      <c r="K119" s="309">
        <v>41.197000000000003</v>
      </c>
      <c r="L119" s="309">
        <v>89.405000000000001</v>
      </c>
      <c r="M119" s="313">
        <v>108.39048</v>
      </c>
      <c r="N119" s="314">
        <v>31.196669999999997</v>
      </c>
      <c r="O119" s="317">
        <v>77.193809999999999</v>
      </c>
      <c r="P119" s="319">
        <f>M119/F119</f>
        <v>9.0325399999999991</v>
      </c>
    </row>
    <row r="120" spans="1:16" s="117" customFormat="1">
      <c r="A120" s="302">
        <f t="shared" si="1"/>
        <v>114</v>
      </c>
      <c r="B120" s="116" t="s">
        <v>74</v>
      </c>
      <c r="C120" s="116" t="s">
        <v>35</v>
      </c>
      <c r="D120" s="145">
        <v>25</v>
      </c>
      <c r="E120" s="145"/>
      <c r="F120" s="303">
        <f>[3]МКД!$H$99</f>
        <v>12</v>
      </c>
      <c r="G120" s="307">
        <f>H120+I120</f>
        <v>95.893999999999991</v>
      </c>
      <c r="H120" s="307">
        <v>24.992999999999999</v>
      </c>
      <c r="I120" s="307">
        <v>70.900999999999996</v>
      </c>
      <c r="J120" s="308">
        <f>K120+L120</f>
        <v>94.581999999999994</v>
      </c>
      <c r="K120" s="309">
        <v>25.117999999999999</v>
      </c>
      <c r="L120" s="309">
        <v>69.463999999999999</v>
      </c>
      <c r="M120" s="313">
        <v>108.13444</v>
      </c>
      <c r="N120" s="314">
        <v>30.235679999999999</v>
      </c>
      <c r="O120" s="317">
        <v>77.898759999999996</v>
      </c>
      <c r="P120" s="319">
        <f>M120/F120</f>
        <v>9.0112033333333326</v>
      </c>
    </row>
    <row r="121" spans="1:16" s="117" customFormat="1">
      <c r="A121" s="302">
        <f t="shared" si="1"/>
        <v>115</v>
      </c>
      <c r="B121" s="116" t="s">
        <v>74</v>
      </c>
      <c r="C121" s="116" t="s">
        <v>16</v>
      </c>
      <c r="D121" s="145">
        <v>55</v>
      </c>
      <c r="E121" s="145"/>
      <c r="F121" s="303">
        <f>[2]МКД!$H$60</f>
        <v>12</v>
      </c>
      <c r="G121" s="307">
        <f>H121+I121</f>
        <v>87.228999999999999</v>
      </c>
      <c r="H121" s="307">
        <v>84.83</v>
      </c>
      <c r="I121" s="307">
        <v>2.399</v>
      </c>
      <c r="J121" s="308">
        <f>K121+L121</f>
        <v>99.501000000000005</v>
      </c>
      <c r="K121" s="309">
        <v>96.17</v>
      </c>
      <c r="L121" s="309">
        <v>3.331</v>
      </c>
      <c r="M121" s="313">
        <v>107.44045</v>
      </c>
      <c r="N121" s="314">
        <v>103.32489</v>
      </c>
      <c r="O121" s="317">
        <v>4.1155600000000003</v>
      </c>
      <c r="P121" s="319">
        <f>M121/F121</f>
        <v>8.9533708333333326</v>
      </c>
    </row>
    <row r="122" spans="1:16" s="117" customFormat="1">
      <c r="A122" s="302">
        <f t="shared" si="1"/>
        <v>116</v>
      </c>
      <c r="B122" s="116" t="s">
        <v>74</v>
      </c>
      <c r="C122" s="116" t="s">
        <v>77</v>
      </c>
      <c r="D122" s="145">
        <v>16</v>
      </c>
      <c r="E122" s="145"/>
      <c r="F122" s="303">
        <f>[2]МКД!$H$16</f>
        <v>16</v>
      </c>
      <c r="G122" s="307">
        <f>H122+I122</f>
        <v>194.29300000000001</v>
      </c>
      <c r="H122" s="307">
        <v>53.220999999999997</v>
      </c>
      <c r="I122" s="307">
        <v>141.072</v>
      </c>
      <c r="J122" s="308">
        <f>K122+L122</f>
        <v>195.91800000000001</v>
      </c>
      <c r="K122" s="309">
        <v>44.5</v>
      </c>
      <c r="L122" s="309">
        <v>151.41800000000001</v>
      </c>
      <c r="M122" s="313">
        <v>139.19378</v>
      </c>
      <c r="N122" s="314">
        <v>36.328499999999998</v>
      </c>
      <c r="O122" s="317">
        <v>102.86528</v>
      </c>
      <c r="P122" s="319">
        <f>M122/F122</f>
        <v>8.6996112500000002</v>
      </c>
    </row>
    <row r="123" spans="1:16" s="117" customFormat="1">
      <c r="A123" s="302">
        <f t="shared" si="1"/>
        <v>117</v>
      </c>
      <c r="B123" s="116" t="s">
        <v>74</v>
      </c>
      <c r="C123" s="116" t="s">
        <v>81</v>
      </c>
      <c r="D123" s="145">
        <v>10</v>
      </c>
      <c r="E123" s="145"/>
      <c r="F123" s="303">
        <f>[2]МКД!$H$41</f>
        <v>12</v>
      </c>
      <c r="G123" s="307">
        <f>H123+I123</f>
        <v>108.29499999999999</v>
      </c>
      <c r="H123" s="307">
        <v>30.222000000000001</v>
      </c>
      <c r="I123" s="307">
        <v>78.072999999999993</v>
      </c>
      <c r="J123" s="308">
        <f>K123+L123</f>
        <v>109.04900000000001</v>
      </c>
      <c r="K123" s="309">
        <v>28.323</v>
      </c>
      <c r="L123" s="309">
        <v>80.725999999999999</v>
      </c>
      <c r="M123" s="313">
        <v>104.03892999999999</v>
      </c>
      <c r="N123" s="314">
        <v>28.258839999999999</v>
      </c>
      <c r="O123" s="317">
        <v>75.780090000000001</v>
      </c>
      <c r="P123" s="319">
        <f>M123/F123</f>
        <v>8.6699108333333328</v>
      </c>
    </row>
    <row r="124" spans="1:16" s="117" customFormat="1">
      <c r="A124" s="302">
        <f t="shared" si="1"/>
        <v>118</v>
      </c>
      <c r="B124" s="116" t="s">
        <v>74</v>
      </c>
      <c r="C124" s="116" t="s">
        <v>94</v>
      </c>
      <c r="D124" s="145">
        <v>39</v>
      </c>
      <c r="E124" s="145" t="s">
        <v>17</v>
      </c>
      <c r="F124" s="303">
        <f>[3]МКД!$H$153</f>
        <v>16</v>
      </c>
      <c r="G124" s="307">
        <f>H124+I124</f>
        <v>117.871</v>
      </c>
      <c r="H124" s="307">
        <v>4.4660000000000002</v>
      </c>
      <c r="I124" s="307">
        <v>113.405</v>
      </c>
      <c r="J124" s="308">
        <f>K124+L124</f>
        <v>158.19800000000001</v>
      </c>
      <c r="K124" s="309">
        <v>11.585000000000001</v>
      </c>
      <c r="L124" s="309">
        <v>146.613</v>
      </c>
      <c r="M124" s="313">
        <v>136.99533</v>
      </c>
      <c r="N124" s="314">
        <v>37.873019999999997</v>
      </c>
      <c r="O124" s="317">
        <v>99.122309999999999</v>
      </c>
      <c r="P124" s="319">
        <f>M124/F124</f>
        <v>8.5622081249999997</v>
      </c>
    </row>
    <row r="125" spans="1:16" s="117" customFormat="1">
      <c r="A125" s="302">
        <f t="shared" si="1"/>
        <v>119</v>
      </c>
      <c r="B125" s="116" t="s">
        <v>74</v>
      </c>
      <c r="C125" s="116" t="s">
        <v>77</v>
      </c>
      <c r="D125" s="145">
        <v>7</v>
      </c>
      <c r="E125" s="145" t="s">
        <v>17</v>
      </c>
      <c r="F125" s="303">
        <f>[2]МКД!$H$11</f>
        <v>12</v>
      </c>
      <c r="G125" s="307">
        <f>H125+I125</f>
        <v>106.953</v>
      </c>
      <c r="H125" s="307">
        <v>35.741999999999997</v>
      </c>
      <c r="I125" s="307">
        <v>71.210999999999999</v>
      </c>
      <c r="J125" s="308">
        <f>K125+L125</f>
        <v>109.01900000000001</v>
      </c>
      <c r="K125" s="309">
        <v>35.097000000000001</v>
      </c>
      <c r="L125" s="309">
        <v>73.921999999999997</v>
      </c>
      <c r="M125" s="313">
        <v>102.19033999999999</v>
      </c>
      <c r="N125" s="314">
        <v>30.645859999999999</v>
      </c>
      <c r="O125" s="317">
        <v>71.544479999999993</v>
      </c>
      <c r="P125" s="319">
        <f>M125/F125</f>
        <v>8.515861666666666</v>
      </c>
    </row>
    <row r="126" spans="1:16" s="117" customFormat="1">
      <c r="A126" s="302">
        <f t="shared" si="1"/>
        <v>120</v>
      </c>
      <c r="B126" s="116" t="s">
        <v>74</v>
      </c>
      <c r="C126" s="116" t="s">
        <v>35</v>
      </c>
      <c r="D126" s="145">
        <v>26</v>
      </c>
      <c r="E126" s="145"/>
      <c r="F126" s="303">
        <f>[3]МКД!$H$100</f>
        <v>12</v>
      </c>
      <c r="G126" s="307">
        <f>H126+I126</f>
        <v>84.548000000000002</v>
      </c>
      <c r="H126" s="307">
        <v>76.527000000000001</v>
      </c>
      <c r="I126" s="307">
        <v>8.0210000000000008</v>
      </c>
      <c r="J126" s="308">
        <f>K126+L126</f>
        <v>93.593000000000004</v>
      </c>
      <c r="K126" s="309">
        <v>84.875</v>
      </c>
      <c r="L126" s="309">
        <v>8.718</v>
      </c>
      <c r="M126" s="313">
        <v>97.820629999999994</v>
      </c>
      <c r="N126" s="314">
        <v>88.456479999999999</v>
      </c>
      <c r="O126" s="317">
        <v>9.3641500000000004</v>
      </c>
      <c r="P126" s="319">
        <f>M126/F126</f>
        <v>8.1517191666666662</v>
      </c>
    </row>
    <row r="127" spans="1:16" s="117" customFormat="1">
      <c r="A127" s="302">
        <f t="shared" si="1"/>
        <v>121</v>
      </c>
      <c r="B127" s="116" t="s">
        <v>74</v>
      </c>
      <c r="C127" s="116" t="s">
        <v>81</v>
      </c>
      <c r="D127" s="145">
        <v>12</v>
      </c>
      <c r="E127" s="145"/>
      <c r="F127" s="303">
        <f>[2]МКД!$H$42</f>
        <v>12</v>
      </c>
      <c r="G127" s="307">
        <f>H127+I127</f>
        <v>91.685999999999993</v>
      </c>
      <c r="H127" s="307">
        <v>24.672000000000001</v>
      </c>
      <c r="I127" s="307">
        <v>67.013999999999996</v>
      </c>
      <c r="J127" s="308">
        <f>K127+L127</f>
        <v>94.384</v>
      </c>
      <c r="K127" s="309">
        <v>24.684999999999999</v>
      </c>
      <c r="L127" s="309">
        <v>69.698999999999998</v>
      </c>
      <c r="M127" s="313">
        <v>97.04413000000001</v>
      </c>
      <c r="N127" s="314">
        <v>24.685500000000001</v>
      </c>
      <c r="O127" s="317">
        <v>72.358630000000005</v>
      </c>
      <c r="P127" s="319">
        <f>M127/F127</f>
        <v>8.0870108333333341</v>
      </c>
    </row>
    <row r="128" spans="1:16" s="117" customFormat="1">
      <c r="A128" s="302">
        <f t="shared" si="1"/>
        <v>122</v>
      </c>
      <c r="B128" s="116" t="s">
        <v>74</v>
      </c>
      <c r="C128" s="116" t="s">
        <v>71</v>
      </c>
      <c r="D128" s="145">
        <v>17</v>
      </c>
      <c r="E128" s="145" t="s">
        <v>18</v>
      </c>
      <c r="F128" s="303">
        <f>[3]МКД!$H$92</f>
        <v>12</v>
      </c>
      <c r="G128" s="307">
        <f>H128+I128</f>
        <v>94.270999999999987</v>
      </c>
      <c r="H128" s="307">
        <v>23.923999999999999</v>
      </c>
      <c r="I128" s="307">
        <v>70.346999999999994</v>
      </c>
      <c r="J128" s="308">
        <f>K128+L128</f>
        <v>96.253000000000014</v>
      </c>
      <c r="K128" s="309">
        <v>25.195</v>
      </c>
      <c r="L128" s="309">
        <v>71.058000000000007</v>
      </c>
      <c r="M128" s="313">
        <v>94.441670000000002</v>
      </c>
      <c r="N128" s="314">
        <v>28.869349999999997</v>
      </c>
      <c r="O128" s="317">
        <v>65.572320000000005</v>
      </c>
      <c r="P128" s="319">
        <f>M128/F128</f>
        <v>7.8701391666666671</v>
      </c>
    </row>
    <row r="129" spans="1:16" s="117" customFormat="1">
      <c r="A129" s="302">
        <f t="shared" si="1"/>
        <v>123</v>
      </c>
      <c r="B129" s="116" t="s">
        <v>74</v>
      </c>
      <c r="C129" s="116" t="s">
        <v>86</v>
      </c>
      <c r="D129" s="145">
        <v>19</v>
      </c>
      <c r="E129" s="145"/>
      <c r="F129" s="303">
        <f>[3]МКД!$H$107</f>
        <v>12</v>
      </c>
      <c r="G129" s="307">
        <f>H129+I129</f>
        <v>92.343000000000004</v>
      </c>
      <c r="H129" s="307">
        <v>23.957999999999998</v>
      </c>
      <c r="I129" s="307">
        <v>68.385000000000005</v>
      </c>
      <c r="J129" s="308">
        <f>K129+L129</f>
        <v>72.286000000000001</v>
      </c>
      <c r="K129" s="309">
        <v>21.53</v>
      </c>
      <c r="L129" s="309">
        <v>50.756</v>
      </c>
      <c r="M129" s="313">
        <v>93.863699999999994</v>
      </c>
      <c r="N129" s="314">
        <v>28.823930000000001</v>
      </c>
      <c r="O129" s="317">
        <v>65.03976999999999</v>
      </c>
      <c r="P129" s="319">
        <f>M129/F129</f>
        <v>7.8219749999999992</v>
      </c>
    </row>
    <row r="130" spans="1:16" s="117" customFormat="1">
      <c r="A130" s="302">
        <f t="shared" si="1"/>
        <v>124</v>
      </c>
      <c r="B130" s="116" t="s">
        <v>74</v>
      </c>
      <c r="C130" s="116" t="s">
        <v>86</v>
      </c>
      <c r="D130" s="145">
        <v>29</v>
      </c>
      <c r="E130" s="145"/>
      <c r="F130" s="303">
        <f>[3]МКД!$H$113</f>
        <v>18</v>
      </c>
      <c r="G130" s="307">
        <f>H130+I130</f>
        <v>99.906999999999996</v>
      </c>
      <c r="H130" s="307">
        <v>27.779</v>
      </c>
      <c r="I130" s="307">
        <v>72.128</v>
      </c>
      <c r="J130" s="308">
        <f>K130+L130</f>
        <v>138.58600000000001</v>
      </c>
      <c r="K130" s="309">
        <v>49.774000000000001</v>
      </c>
      <c r="L130" s="309">
        <v>88.811999999999998</v>
      </c>
      <c r="M130" s="313">
        <v>136.76177000000001</v>
      </c>
      <c r="N130" s="314">
        <v>50.309730000000002</v>
      </c>
      <c r="O130" s="317">
        <v>86.452039999999997</v>
      </c>
      <c r="P130" s="319">
        <f>M130/F130</f>
        <v>7.5978761111111117</v>
      </c>
    </row>
    <row r="131" spans="1:16" s="117" customFormat="1">
      <c r="A131" s="302">
        <f t="shared" si="1"/>
        <v>125</v>
      </c>
      <c r="B131" s="116" t="s">
        <v>74</v>
      </c>
      <c r="C131" s="116" t="s">
        <v>34</v>
      </c>
      <c r="D131" s="145">
        <v>29</v>
      </c>
      <c r="E131" s="145"/>
      <c r="F131" s="303">
        <f>[3]МКД!$H$83</f>
        <v>16</v>
      </c>
      <c r="G131" s="307">
        <f>H131+I131</f>
        <v>138.27700000000002</v>
      </c>
      <c r="H131" s="307">
        <v>103.373</v>
      </c>
      <c r="I131" s="307">
        <v>34.904000000000003</v>
      </c>
      <c r="J131" s="308">
        <f>K131+L131</f>
        <v>147.85900000000001</v>
      </c>
      <c r="K131" s="309">
        <v>112.955</v>
      </c>
      <c r="L131" s="309">
        <v>34.904000000000003</v>
      </c>
      <c r="M131" s="313">
        <v>121.25584000000001</v>
      </c>
      <c r="N131" s="314">
        <v>81.392420000000016</v>
      </c>
      <c r="O131" s="317">
        <v>39.863419999999998</v>
      </c>
      <c r="P131" s="319">
        <f>M131/F131</f>
        <v>7.5784900000000004</v>
      </c>
    </row>
    <row r="132" spans="1:16" s="117" customFormat="1">
      <c r="A132" s="302">
        <f t="shared" si="1"/>
        <v>126</v>
      </c>
      <c r="B132" s="116" t="s">
        <v>74</v>
      </c>
      <c r="C132" s="116" t="s">
        <v>21</v>
      </c>
      <c r="D132" s="145">
        <v>5</v>
      </c>
      <c r="E132" s="145"/>
      <c r="F132" s="303">
        <f>[2]МКД!$H$27</f>
        <v>8</v>
      </c>
      <c r="G132" s="307">
        <f>H132+I132</f>
        <v>42.191000000000003</v>
      </c>
      <c r="H132" s="307">
        <v>10.492000000000001</v>
      </c>
      <c r="I132" s="307">
        <v>31.699000000000002</v>
      </c>
      <c r="J132" s="308">
        <f>K132+L132</f>
        <v>57.75</v>
      </c>
      <c r="K132" s="309">
        <v>18.343</v>
      </c>
      <c r="L132" s="309">
        <v>39.406999999999996</v>
      </c>
      <c r="M132" s="313">
        <v>58.835740000000001</v>
      </c>
      <c r="N132" s="314">
        <v>20.127740000000003</v>
      </c>
      <c r="O132" s="317">
        <v>38.707999999999998</v>
      </c>
      <c r="P132" s="319">
        <f>M132/F132</f>
        <v>7.3544675000000002</v>
      </c>
    </row>
    <row r="133" spans="1:16" s="117" customFormat="1">
      <c r="A133" s="302">
        <f t="shared" si="1"/>
        <v>127</v>
      </c>
      <c r="B133" s="116" t="s">
        <v>74</v>
      </c>
      <c r="C133" s="116" t="s">
        <v>71</v>
      </c>
      <c r="D133" s="145">
        <v>15</v>
      </c>
      <c r="E133" s="145"/>
      <c r="F133" s="303">
        <f>[3]МКД!$H$91</f>
        <v>12</v>
      </c>
      <c r="G133" s="307">
        <f>H133+I133</f>
        <v>71.438999999999993</v>
      </c>
      <c r="H133" s="307">
        <v>18.103000000000002</v>
      </c>
      <c r="I133" s="307">
        <v>53.335999999999999</v>
      </c>
      <c r="J133" s="308">
        <f>K133+L133</f>
        <v>99.245999999999995</v>
      </c>
      <c r="K133" s="309">
        <v>27.032</v>
      </c>
      <c r="L133" s="309">
        <v>72.213999999999999</v>
      </c>
      <c r="M133" s="313">
        <v>83.516539999999992</v>
      </c>
      <c r="N133" s="314">
        <v>24.484999999999999</v>
      </c>
      <c r="O133" s="317">
        <v>59.03154</v>
      </c>
      <c r="P133" s="319">
        <f>M133/F133</f>
        <v>6.9597116666666663</v>
      </c>
    </row>
    <row r="134" spans="1:16" s="117" customFormat="1">
      <c r="A134" s="302">
        <f t="shared" si="1"/>
        <v>128</v>
      </c>
      <c r="B134" s="116" t="s">
        <v>74</v>
      </c>
      <c r="C134" s="116" t="s">
        <v>93</v>
      </c>
      <c r="D134" s="145">
        <v>36</v>
      </c>
      <c r="E134" s="145" t="s">
        <v>17</v>
      </c>
      <c r="F134" s="303">
        <f>[3]МКД!$H$145</f>
        <v>12</v>
      </c>
      <c r="G134" s="307">
        <f>H134+I134</f>
        <v>80.686999999999998</v>
      </c>
      <c r="H134" s="307">
        <v>79.168999999999997</v>
      </c>
      <c r="I134" s="307">
        <v>1.518</v>
      </c>
      <c r="J134" s="308">
        <f>K134+L134</f>
        <v>95.200999999999993</v>
      </c>
      <c r="K134" s="309">
        <v>93.418999999999997</v>
      </c>
      <c r="L134" s="309">
        <v>1.782</v>
      </c>
      <c r="M134" s="313">
        <v>81.16337</v>
      </c>
      <c r="N134" s="314">
        <v>79.534289999999999</v>
      </c>
      <c r="O134" s="317">
        <v>1.6290799999999999</v>
      </c>
      <c r="P134" s="319">
        <f>M134/F134</f>
        <v>6.7636141666666667</v>
      </c>
    </row>
    <row r="135" spans="1:16" s="117" customFormat="1">
      <c r="A135" s="302">
        <f t="shared" si="1"/>
        <v>129</v>
      </c>
      <c r="B135" s="116" t="s">
        <v>74</v>
      </c>
      <c r="C135" s="116" t="s">
        <v>94</v>
      </c>
      <c r="D135" s="145">
        <v>45</v>
      </c>
      <c r="E135" s="145"/>
      <c r="F135" s="303">
        <f>[1]МКД!$H$256</f>
        <v>12</v>
      </c>
      <c r="G135" s="307">
        <f>H135+I135</f>
        <v>55.271999999999998</v>
      </c>
      <c r="H135" s="307">
        <v>46.268999999999998</v>
      </c>
      <c r="I135" s="307">
        <v>9.0030000000000001</v>
      </c>
      <c r="J135" s="308">
        <f>K135+L135</f>
        <v>69.988</v>
      </c>
      <c r="K135" s="309">
        <v>61.585999999999999</v>
      </c>
      <c r="L135" s="309">
        <v>8.4019999999999992</v>
      </c>
      <c r="M135" s="313">
        <v>79.327390000000008</v>
      </c>
      <c r="N135" s="314">
        <v>70.434110000000004</v>
      </c>
      <c r="O135" s="317">
        <v>8.8932800000000007</v>
      </c>
      <c r="P135" s="319">
        <f>M135/F135</f>
        <v>6.610615833333334</v>
      </c>
    </row>
    <row r="136" spans="1:16" s="117" customFormat="1">
      <c r="A136" s="302">
        <f t="shared" si="1"/>
        <v>130</v>
      </c>
      <c r="B136" s="116" t="s">
        <v>74</v>
      </c>
      <c r="C136" s="116" t="s">
        <v>77</v>
      </c>
      <c r="D136" s="145">
        <v>4</v>
      </c>
      <c r="E136" s="145"/>
      <c r="F136" s="303">
        <f>[2]МКД!$H$9</f>
        <v>16</v>
      </c>
      <c r="G136" s="307">
        <f>H136+I136</f>
        <v>76.731999999999999</v>
      </c>
      <c r="H136" s="307">
        <v>13.5</v>
      </c>
      <c r="I136" s="307">
        <v>63.231999999999999</v>
      </c>
      <c r="J136" s="308">
        <f>K136+L136</f>
        <v>118.07600000000001</v>
      </c>
      <c r="K136" s="309">
        <v>24.452999999999999</v>
      </c>
      <c r="L136" s="309">
        <v>93.623000000000005</v>
      </c>
      <c r="M136" s="313">
        <v>103.15439000000001</v>
      </c>
      <c r="N136" s="314">
        <v>27.757330000000003</v>
      </c>
      <c r="O136" s="317">
        <v>75.397059999999996</v>
      </c>
      <c r="P136" s="319">
        <f>M136/F136</f>
        <v>6.4471493750000004</v>
      </c>
    </row>
    <row r="137" spans="1:16" s="117" customFormat="1">
      <c r="A137" s="302">
        <f t="shared" ref="A137:A167" si="2">A136+1</f>
        <v>131</v>
      </c>
      <c r="B137" s="116" t="s">
        <v>74</v>
      </c>
      <c r="C137" s="116" t="s">
        <v>90</v>
      </c>
      <c r="D137" s="145">
        <v>8</v>
      </c>
      <c r="E137" s="145" t="s">
        <v>17</v>
      </c>
      <c r="F137" s="303">
        <f>[3]МКД!$H$137</f>
        <v>11</v>
      </c>
      <c r="G137" s="307">
        <f>H137+I137</f>
        <v>64.313000000000002</v>
      </c>
      <c r="H137" s="307">
        <v>59.912999999999997</v>
      </c>
      <c r="I137" s="307">
        <v>4.4000000000000004</v>
      </c>
      <c r="J137" s="308">
        <f>K137+L137</f>
        <v>62.286000000000001</v>
      </c>
      <c r="K137" s="309">
        <v>58.149000000000001</v>
      </c>
      <c r="L137" s="309">
        <v>4.1369999999999996</v>
      </c>
      <c r="M137" s="313">
        <v>69.809639999999987</v>
      </c>
      <c r="N137" s="314">
        <v>64.787269999999992</v>
      </c>
      <c r="O137" s="317">
        <v>5.0223699999999996</v>
      </c>
      <c r="P137" s="319">
        <f>M137/F137</f>
        <v>6.3463309090909084</v>
      </c>
    </row>
    <row r="138" spans="1:16" s="117" customFormat="1">
      <c r="A138" s="302">
        <f t="shared" si="2"/>
        <v>132</v>
      </c>
      <c r="B138" s="116" t="s">
        <v>74</v>
      </c>
      <c r="C138" s="116" t="s">
        <v>79</v>
      </c>
      <c r="D138" s="145">
        <v>4</v>
      </c>
      <c r="E138" s="145"/>
      <c r="F138" s="303">
        <f>[1]МКД!$H$370</f>
        <v>12</v>
      </c>
      <c r="G138" s="307">
        <f>H138+I138</f>
        <v>68.97</v>
      </c>
      <c r="H138" s="307">
        <v>68.97</v>
      </c>
      <c r="I138" s="307">
        <v>0</v>
      </c>
      <c r="J138" s="308">
        <f>K138+L138</f>
        <v>70.463999999999999</v>
      </c>
      <c r="K138" s="309">
        <v>70.463999999999999</v>
      </c>
      <c r="L138" s="309">
        <v>0</v>
      </c>
      <c r="M138" s="313">
        <v>74.415989999999994</v>
      </c>
      <c r="N138" s="314">
        <v>74.415989999999994</v>
      </c>
      <c r="O138" s="317">
        <v>0</v>
      </c>
      <c r="P138" s="319">
        <f>M138/F138</f>
        <v>6.2013324999999995</v>
      </c>
    </row>
    <row r="139" spans="1:16" s="117" customFormat="1">
      <c r="A139" s="302">
        <f t="shared" si="2"/>
        <v>133</v>
      </c>
      <c r="B139" s="116" t="s">
        <v>74</v>
      </c>
      <c r="C139" s="116" t="s">
        <v>16</v>
      </c>
      <c r="D139" s="145">
        <v>52</v>
      </c>
      <c r="E139" s="145" t="s">
        <v>17</v>
      </c>
      <c r="F139" s="303">
        <f>[2]МКД!$H$57</f>
        <v>12</v>
      </c>
      <c r="G139" s="307">
        <f>H139+I139</f>
        <v>64.442000000000007</v>
      </c>
      <c r="H139" s="307">
        <v>52.219000000000001</v>
      </c>
      <c r="I139" s="307">
        <v>12.223000000000001</v>
      </c>
      <c r="J139" s="308">
        <f>K139+L139</f>
        <v>68.158000000000001</v>
      </c>
      <c r="K139" s="309">
        <v>55.926000000000002</v>
      </c>
      <c r="L139" s="309">
        <v>12.231999999999999</v>
      </c>
      <c r="M139" s="313">
        <v>72.734489999999994</v>
      </c>
      <c r="N139" s="314">
        <v>61.644929999999995</v>
      </c>
      <c r="O139" s="317">
        <v>11.089559999999999</v>
      </c>
      <c r="P139" s="319">
        <f>M139/F139</f>
        <v>6.0612074999999992</v>
      </c>
    </row>
    <row r="140" spans="1:16" s="117" customFormat="1">
      <c r="A140" s="302">
        <f t="shared" si="2"/>
        <v>134</v>
      </c>
      <c r="B140" s="116" t="s">
        <v>74</v>
      </c>
      <c r="C140" s="119" t="s">
        <v>16</v>
      </c>
      <c r="D140" s="146">
        <v>52</v>
      </c>
      <c r="E140" s="146"/>
      <c r="F140" s="303">
        <v>12</v>
      </c>
      <c r="G140" s="307">
        <f>H140+I140</f>
        <v>61.225000000000001</v>
      </c>
      <c r="H140" s="307">
        <v>48.454000000000001</v>
      </c>
      <c r="I140" s="307">
        <v>12.771000000000001</v>
      </c>
      <c r="J140" s="308">
        <f>K140+L140</f>
        <v>58.150000000000006</v>
      </c>
      <c r="K140" s="309">
        <v>49.545000000000002</v>
      </c>
      <c r="L140" s="309">
        <v>8.6050000000000004</v>
      </c>
      <c r="M140" s="313">
        <v>72.453630000000004</v>
      </c>
      <c r="N140" s="314">
        <v>60.444090000000003</v>
      </c>
      <c r="O140" s="317">
        <v>12.009540000000001</v>
      </c>
      <c r="P140" s="319">
        <f>M140/F140</f>
        <v>6.0378025000000006</v>
      </c>
    </row>
    <row r="141" spans="1:16" s="117" customFormat="1">
      <c r="A141" s="302">
        <f t="shared" si="2"/>
        <v>135</v>
      </c>
      <c r="B141" s="116" t="s">
        <v>74</v>
      </c>
      <c r="C141" s="116" t="s">
        <v>16</v>
      </c>
      <c r="D141" s="145">
        <v>56</v>
      </c>
      <c r="E141" s="145" t="s">
        <v>17</v>
      </c>
      <c r="F141" s="303">
        <v>12</v>
      </c>
      <c r="G141" s="307">
        <f>H141+I141</f>
        <v>60.781000000000006</v>
      </c>
      <c r="H141" s="307">
        <v>62.438000000000002</v>
      </c>
      <c r="I141" s="307">
        <v>-1.657</v>
      </c>
      <c r="J141" s="308">
        <f>K141+L141</f>
        <v>68.094999999999999</v>
      </c>
      <c r="K141" s="309">
        <v>68.753</v>
      </c>
      <c r="L141" s="309">
        <v>-0.65800000000000003</v>
      </c>
      <c r="M141" s="313">
        <v>66.556869999999989</v>
      </c>
      <c r="N141" s="314">
        <v>72.248979999999989</v>
      </c>
      <c r="O141" s="317">
        <v>-5.6921099999999987</v>
      </c>
      <c r="P141" s="319">
        <f>M141/F141</f>
        <v>5.5464058333333321</v>
      </c>
    </row>
    <row r="142" spans="1:16" s="117" customFormat="1">
      <c r="A142" s="302">
        <f t="shared" si="2"/>
        <v>136</v>
      </c>
      <c r="B142" s="116" t="s">
        <v>74</v>
      </c>
      <c r="C142" s="116" t="s">
        <v>90</v>
      </c>
      <c r="D142" s="145">
        <v>7</v>
      </c>
      <c r="E142" s="145"/>
      <c r="F142" s="303">
        <f>[3]МКД!$H$136</f>
        <v>12</v>
      </c>
      <c r="G142" s="307">
        <f>H142+I142</f>
        <v>38.135000000000005</v>
      </c>
      <c r="H142" s="307">
        <v>22.719000000000001</v>
      </c>
      <c r="I142" s="307">
        <v>15.416</v>
      </c>
      <c r="J142" s="308">
        <f>K142+L142</f>
        <v>57.254999999999995</v>
      </c>
      <c r="K142" s="309">
        <v>36.686999999999998</v>
      </c>
      <c r="L142" s="309">
        <v>20.568000000000001</v>
      </c>
      <c r="M142" s="313">
        <v>65.830729999999988</v>
      </c>
      <c r="N142" s="314">
        <v>40.117309999999996</v>
      </c>
      <c r="O142" s="317">
        <v>25.713419999999999</v>
      </c>
      <c r="P142" s="319">
        <f>M142/F142</f>
        <v>5.4858941666666654</v>
      </c>
    </row>
    <row r="143" spans="1:16" s="117" customFormat="1">
      <c r="A143" s="302">
        <f t="shared" si="2"/>
        <v>137</v>
      </c>
      <c r="B143" s="116" t="s">
        <v>74</v>
      </c>
      <c r="C143" s="116" t="s">
        <v>80</v>
      </c>
      <c r="D143" s="145">
        <v>4</v>
      </c>
      <c r="E143" s="145"/>
      <c r="F143" s="303">
        <f>[1]МКД!$H$377</f>
        <v>12</v>
      </c>
      <c r="G143" s="307">
        <f>H143+I143</f>
        <v>55.707000000000001</v>
      </c>
      <c r="H143" s="307">
        <v>55.707000000000001</v>
      </c>
      <c r="I143" s="307">
        <v>0</v>
      </c>
      <c r="J143" s="308">
        <f>K143+L143</f>
        <v>63.887</v>
      </c>
      <c r="K143" s="309">
        <v>63.887</v>
      </c>
      <c r="L143" s="309">
        <v>0</v>
      </c>
      <c r="M143" s="313">
        <v>65.14191000000001</v>
      </c>
      <c r="N143" s="314">
        <v>65.14191000000001</v>
      </c>
      <c r="O143" s="317">
        <v>0</v>
      </c>
      <c r="P143" s="319">
        <f>M143/F143</f>
        <v>5.4284925000000008</v>
      </c>
    </row>
    <row r="144" spans="1:16" s="117" customFormat="1">
      <c r="A144" s="302">
        <f t="shared" si="2"/>
        <v>138</v>
      </c>
      <c r="B144" s="116" t="s">
        <v>74</v>
      </c>
      <c r="C144" s="116" t="s">
        <v>95</v>
      </c>
      <c r="D144" s="145">
        <v>3</v>
      </c>
      <c r="E144" s="145" t="s">
        <v>17</v>
      </c>
      <c r="F144" s="303">
        <f>[3]МКД!$H$162</f>
        <v>8</v>
      </c>
      <c r="G144" s="307">
        <f>H144+I144</f>
        <v>31.551000000000002</v>
      </c>
      <c r="H144" s="307">
        <v>9.0280000000000005</v>
      </c>
      <c r="I144" s="307">
        <v>22.523</v>
      </c>
      <c r="J144" s="308">
        <f>K144+L144</f>
        <v>43.563000000000002</v>
      </c>
      <c r="K144" s="309">
        <v>19.422999999999998</v>
      </c>
      <c r="L144" s="309">
        <v>24.14</v>
      </c>
      <c r="M144" s="313">
        <v>40.679119999999998</v>
      </c>
      <c r="N144" s="314">
        <v>17.044620000000002</v>
      </c>
      <c r="O144" s="317">
        <v>23.634499999999999</v>
      </c>
      <c r="P144" s="319">
        <f>M144/F144</f>
        <v>5.0848899999999997</v>
      </c>
    </row>
    <row r="145" spans="1:16" s="117" customFormat="1">
      <c r="A145" s="302">
        <f t="shared" si="2"/>
        <v>139</v>
      </c>
      <c r="B145" s="116" t="s">
        <v>74</v>
      </c>
      <c r="C145" s="116" t="s">
        <v>72</v>
      </c>
      <c r="D145" s="145">
        <v>9</v>
      </c>
      <c r="E145" s="145" t="s">
        <v>17</v>
      </c>
      <c r="F145" s="303">
        <f>[3]МКД!$H$125</f>
        <v>12</v>
      </c>
      <c r="G145" s="307">
        <f>H145+I145</f>
        <v>46.914000000000001</v>
      </c>
      <c r="H145" s="307">
        <v>36.142000000000003</v>
      </c>
      <c r="I145" s="307">
        <v>10.772</v>
      </c>
      <c r="J145" s="308">
        <f>K145+L145</f>
        <v>56.545000000000002</v>
      </c>
      <c r="K145" s="309">
        <v>44.731999999999999</v>
      </c>
      <c r="L145" s="309">
        <v>11.813000000000001</v>
      </c>
      <c r="M145" s="313">
        <v>58.010729999999995</v>
      </c>
      <c r="N145" s="314">
        <v>51.752459999999999</v>
      </c>
      <c r="O145" s="317">
        <v>6.2582699999999996</v>
      </c>
      <c r="P145" s="319">
        <f>M145/F145</f>
        <v>4.8342274999999999</v>
      </c>
    </row>
    <row r="146" spans="1:16" s="117" customFormat="1">
      <c r="A146" s="302">
        <f t="shared" si="2"/>
        <v>140</v>
      </c>
      <c r="B146" s="116" t="s">
        <v>74</v>
      </c>
      <c r="C146" s="116" t="s">
        <v>79</v>
      </c>
      <c r="D146" s="145">
        <v>9</v>
      </c>
      <c r="E146" s="145" t="s">
        <v>18</v>
      </c>
      <c r="F146" s="303">
        <v>5</v>
      </c>
      <c r="G146" s="307">
        <f>H146+I146</f>
        <v>22.146000000000001</v>
      </c>
      <c r="H146" s="307">
        <v>19.582000000000001</v>
      </c>
      <c r="I146" s="307">
        <v>2.5640000000000001</v>
      </c>
      <c r="J146" s="308">
        <f>K146+L146</f>
        <v>20.126999999999999</v>
      </c>
      <c r="K146" s="309">
        <v>18.177</v>
      </c>
      <c r="L146" s="309">
        <v>1.95</v>
      </c>
      <c r="M146" s="313">
        <v>23.67933</v>
      </c>
      <c r="N146" s="314">
        <v>21.729099999999999</v>
      </c>
      <c r="O146" s="317">
        <v>1.9502299999999999</v>
      </c>
      <c r="P146" s="319">
        <f>M146/F146</f>
        <v>4.7358659999999997</v>
      </c>
    </row>
    <row r="147" spans="1:16" s="117" customFormat="1">
      <c r="A147" s="302">
        <f t="shared" si="2"/>
        <v>141</v>
      </c>
      <c r="B147" s="116" t="s">
        <v>74</v>
      </c>
      <c r="C147" s="116" t="s">
        <v>35</v>
      </c>
      <c r="D147" s="145">
        <v>6</v>
      </c>
      <c r="E147" s="145"/>
      <c r="F147" s="303">
        <f>[1]МКД!$H$242</f>
        <v>12</v>
      </c>
      <c r="G147" s="307">
        <f>H147+I147</f>
        <v>63.588999999999999</v>
      </c>
      <c r="H147" s="307">
        <v>66.760999999999996</v>
      </c>
      <c r="I147" s="307">
        <v>-3.1720000000000002</v>
      </c>
      <c r="J147" s="308">
        <f>K147+L147</f>
        <v>70.585000000000008</v>
      </c>
      <c r="K147" s="309">
        <v>73.757000000000005</v>
      </c>
      <c r="L147" s="309">
        <v>-3.1720000000000002</v>
      </c>
      <c r="M147" s="313">
        <v>56.828379999999996</v>
      </c>
      <c r="N147" s="314">
        <v>60.000749999999996</v>
      </c>
      <c r="O147" s="317">
        <v>-3.1723699999999999</v>
      </c>
      <c r="P147" s="319">
        <f>M147/F147</f>
        <v>4.7356983333333327</v>
      </c>
    </row>
    <row r="148" spans="1:16" s="117" customFormat="1">
      <c r="A148" s="302">
        <f t="shared" si="2"/>
        <v>142</v>
      </c>
      <c r="B148" s="116" t="s">
        <v>74</v>
      </c>
      <c r="C148" s="116" t="s">
        <v>16</v>
      </c>
      <c r="D148" s="145">
        <v>49</v>
      </c>
      <c r="E148" s="145"/>
      <c r="F148" s="303">
        <v>12</v>
      </c>
      <c r="G148" s="307">
        <f>H148+I148</f>
        <v>38.919999999999995</v>
      </c>
      <c r="H148" s="307">
        <v>38.363999999999997</v>
      </c>
      <c r="I148" s="307">
        <v>0.55600000000000005</v>
      </c>
      <c r="J148" s="308">
        <f>K148+L148</f>
        <v>53.530999999999999</v>
      </c>
      <c r="K148" s="309">
        <v>52.917000000000002</v>
      </c>
      <c r="L148" s="309">
        <v>0.61399999999999999</v>
      </c>
      <c r="M148" s="313">
        <v>54.263670000000005</v>
      </c>
      <c r="N148" s="314">
        <v>53.621110000000002</v>
      </c>
      <c r="O148" s="317">
        <v>0.64256000000000002</v>
      </c>
      <c r="P148" s="319">
        <f>M148/F148</f>
        <v>4.5219725000000004</v>
      </c>
    </row>
    <row r="149" spans="1:16" s="117" customFormat="1">
      <c r="A149" s="302">
        <f t="shared" si="2"/>
        <v>143</v>
      </c>
      <c r="B149" s="116" t="s">
        <v>74</v>
      </c>
      <c r="C149" s="116" t="s">
        <v>95</v>
      </c>
      <c r="D149" s="145">
        <v>1</v>
      </c>
      <c r="E149" s="145" t="s">
        <v>17</v>
      </c>
      <c r="F149" s="303">
        <f>[3]МКД!$H$160</f>
        <v>8</v>
      </c>
      <c r="G149" s="307">
        <f>H149+I149</f>
        <v>52.694000000000003</v>
      </c>
      <c r="H149" s="307">
        <v>8.67</v>
      </c>
      <c r="I149" s="307">
        <v>44.024000000000001</v>
      </c>
      <c r="J149" s="308">
        <f>K149+L149</f>
        <v>63.677999999999997</v>
      </c>
      <c r="K149" s="309">
        <v>13.945</v>
      </c>
      <c r="L149" s="309">
        <v>49.732999999999997</v>
      </c>
      <c r="M149" s="313">
        <v>35.669229999999999</v>
      </c>
      <c r="N149" s="314">
        <v>16.131630000000001</v>
      </c>
      <c r="O149" s="317">
        <v>19.537599999999998</v>
      </c>
      <c r="P149" s="319">
        <f>M149/F149</f>
        <v>4.4586537499999999</v>
      </c>
    </row>
    <row r="150" spans="1:16" s="117" customFormat="1">
      <c r="A150" s="302">
        <f t="shared" si="2"/>
        <v>144</v>
      </c>
      <c r="B150" s="116" t="s">
        <v>74</v>
      </c>
      <c r="C150" s="116" t="s">
        <v>84</v>
      </c>
      <c r="D150" s="145">
        <v>10</v>
      </c>
      <c r="E150" s="145"/>
      <c r="F150" s="303">
        <f>[2]МКД!$H$66</f>
        <v>12</v>
      </c>
      <c r="G150" s="307">
        <f>H150+I150</f>
        <v>47.857999999999997</v>
      </c>
      <c r="H150" s="307">
        <v>49.475999999999999</v>
      </c>
      <c r="I150" s="307">
        <v>-1.6180000000000001</v>
      </c>
      <c r="J150" s="308">
        <f>K150+L150</f>
        <v>51.232999999999997</v>
      </c>
      <c r="K150" s="309">
        <v>52.850999999999999</v>
      </c>
      <c r="L150" s="309">
        <v>-1.6180000000000001</v>
      </c>
      <c r="M150" s="313">
        <v>52.934300000000007</v>
      </c>
      <c r="N150" s="314">
        <v>54.552780000000006</v>
      </c>
      <c r="O150" s="317">
        <v>-1.6184799999999999</v>
      </c>
      <c r="P150" s="319">
        <f>M150/F150</f>
        <v>4.4111916666666673</v>
      </c>
    </row>
    <row r="151" spans="1:16" s="117" customFormat="1">
      <c r="A151" s="302">
        <f t="shared" si="2"/>
        <v>145</v>
      </c>
      <c r="B151" s="116" t="s">
        <v>74</v>
      </c>
      <c r="C151" s="116" t="s">
        <v>94</v>
      </c>
      <c r="D151" s="145">
        <v>45</v>
      </c>
      <c r="E151" s="145" t="s">
        <v>18</v>
      </c>
      <c r="F151" s="303">
        <f>[3]МКД!$H$159</f>
        <v>8</v>
      </c>
      <c r="G151" s="307">
        <f>H151+I151</f>
        <v>34.339999999999996</v>
      </c>
      <c r="H151" s="307">
        <v>15.962999999999999</v>
      </c>
      <c r="I151" s="307">
        <v>18.376999999999999</v>
      </c>
      <c r="J151" s="308">
        <f>K151+L151</f>
        <v>44.198</v>
      </c>
      <c r="K151" s="309">
        <v>25.099</v>
      </c>
      <c r="L151" s="309">
        <v>19.099</v>
      </c>
      <c r="M151" s="313">
        <v>34.959699999999998</v>
      </c>
      <c r="N151" s="314">
        <v>18.21443</v>
      </c>
      <c r="O151" s="317">
        <v>16.745270000000001</v>
      </c>
      <c r="P151" s="319">
        <f>M151/F151</f>
        <v>4.3699624999999997</v>
      </c>
    </row>
    <row r="152" spans="1:16" s="117" customFormat="1">
      <c r="A152" s="302">
        <f t="shared" si="2"/>
        <v>146</v>
      </c>
      <c r="B152" s="116" t="s">
        <v>74</v>
      </c>
      <c r="C152" s="116" t="s">
        <v>51</v>
      </c>
      <c r="D152" s="145">
        <v>4</v>
      </c>
      <c r="E152" s="145" t="s">
        <v>17</v>
      </c>
      <c r="F152" s="118">
        <v>12</v>
      </c>
      <c r="G152" s="307">
        <f>H152+I152</f>
        <v>38.872999999999998</v>
      </c>
      <c r="H152" s="307">
        <v>27.462</v>
      </c>
      <c r="I152" s="307">
        <v>11.411</v>
      </c>
      <c r="J152" s="308">
        <f>K152+L152</f>
        <v>49.451000000000001</v>
      </c>
      <c r="K152" s="309">
        <v>34.557000000000002</v>
      </c>
      <c r="L152" s="309">
        <v>14.894</v>
      </c>
      <c r="M152" s="313">
        <v>52.352069999999998</v>
      </c>
      <c r="N152" s="314">
        <v>36.354949999999995</v>
      </c>
      <c r="O152" s="317">
        <v>15.997119999999999</v>
      </c>
      <c r="P152" s="319">
        <f>M152/F152</f>
        <v>4.3626724999999995</v>
      </c>
    </row>
    <row r="153" spans="1:16" s="117" customFormat="1">
      <c r="A153" s="302">
        <f t="shared" si="2"/>
        <v>147</v>
      </c>
      <c r="B153" s="116" t="s">
        <v>74</v>
      </c>
      <c r="C153" s="116" t="s">
        <v>34</v>
      </c>
      <c r="D153" s="145">
        <v>9</v>
      </c>
      <c r="E153" s="145"/>
      <c r="F153" s="303">
        <f>[3]МКД!$H$78</f>
        <v>12</v>
      </c>
      <c r="G153" s="307">
        <f>H153+I153</f>
        <v>32.707999999999998</v>
      </c>
      <c r="H153" s="307">
        <v>25.181000000000001</v>
      </c>
      <c r="I153" s="307">
        <v>7.5270000000000001</v>
      </c>
      <c r="J153" s="308">
        <f>K153+L153</f>
        <v>51.647999999999996</v>
      </c>
      <c r="K153" s="309">
        <v>39.140999999999998</v>
      </c>
      <c r="L153" s="309">
        <v>12.507</v>
      </c>
      <c r="M153" s="313">
        <v>52.348929999999996</v>
      </c>
      <c r="N153" s="314">
        <v>42.658759999999994</v>
      </c>
      <c r="O153" s="317">
        <v>9.6901700000000002</v>
      </c>
      <c r="P153" s="319">
        <f>M153/F153</f>
        <v>4.3624108333333327</v>
      </c>
    </row>
    <row r="154" spans="1:16" s="117" customFormat="1">
      <c r="A154" s="302">
        <f t="shared" si="2"/>
        <v>148</v>
      </c>
      <c r="B154" s="116" t="s">
        <v>74</v>
      </c>
      <c r="C154" s="116" t="s">
        <v>16</v>
      </c>
      <c r="D154" s="145">
        <v>53</v>
      </c>
      <c r="E154" s="145"/>
      <c r="F154" s="303">
        <f>[2]МКД!$H$58</f>
        <v>12</v>
      </c>
      <c r="G154" s="307">
        <f>H154+I154</f>
        <v>42.079000000000001</v>
      </c>
      <c r="H154" s="307">
        <v>45.956000000000003</v>
      </c>
      <c r="I154" s="307">
        <v>-3.8769999999999998</v>
      </c>
      <c r="J154" s="308">
        <f>K154+L154</f>
        <v>42.885999999999996</v>
      </c>
      <c r="K154" s="309">
        <v>47.042999999999999</v>
      </c>
      <c r="L154" s="309">
        <v>-4.157</v>
      </c>
      <c r="M154" s="313">
        <v>50.14799</v>
      </c>
      <c r="N154" s="314">
        <v>54.287570000000002</v>
      </c>
      <c r="O154" s="317">
        <v>-4.1395799999999996</v>
      </c>
      <c r="P154" s="319">
        <f>M154/F154</f>
        <v>4.1789991666666664</v>
      </c>
    </row>
    <row r="155" spans="1:16" s="117" customFormat="1">
      <c r="A155" s="302">
        <f t="shared" si="2"/>
        <v>149</v>
      </c>
      <c r="B155" s="116" t="s">
        <v>74</v>
      </c>
      <c r="C155" s="116" t="s">
        <v>77</v>
      </c>
      <c r="D155" s="145">
        <v>45</v>
      </c>
      <c r="E155" s="145" t="s">
        <v>17</v>
      </c>
      <c r="F155" s="303">
        <v>12</v>
      </c>
      <c r="G155" s="307">
        <f>H155+I155</f>
        <v>40.884999999999998</v>
      </c>
      <c r="H155" s="307">
        <v>27.978999999999999</v>
      </c>
      <c r="I155" s="307">
        <v>12.906000000000001</v>
      </c>
      <c r="J155" s="308">
        <f>K155+L155</f>
        <v>48.363</v>
      </c>
      <c r="K155" s="309">
        <v>34.375999999999998</v>
      </c>
      <c r="L155" s="309">
        <v>13.987</v>
      </c>
      <c r="M155" s="313">
        <v>46.215809999999998</v>
      </c>
      <c r="N155" s="314">
        <v>30.091189999999997</v>
      </c>
      <c r="O155" s="317">
        <v>16.12462</v>
      </c>
      <c r="P155" s="319">
        <f>M155/F155</f>
        <v>3.8513174999999999</v>
      </c>
    </row>
    <row r="156" spans="1:16" s="117" customFormat="1">
      <c r="A156" s="302">
        <f t="shared" si="2"/>
        <v>150</v>
      </c>
      <c r="B156" s="116" t="s">
        <v>74</v>
      </c>
      <c r="C156" s="116" t="s">
        <v>77</v>
      </c>
      <c r="D156" s="145">
        <v>47</v>
      </c>
      <c r="E156" s="145" t="s">
        <v>17</v>
      </c>
      <c r="F156" s="303">
        <f>[2]МКД!$H$19</f>
        <v>12</v>
      </c>
      <c r="G156" s="307">
        <f>H156+I156</f>
        <v>7.5826999999999991</v>
      </c>
      <c r="H156" s="307">
        <v>22.614999999999998</v>
      </c>
      <c r="I156" s="307">
        <v>-15.032299999999999</v>
      </c>
      <c r="J156" s="308">
        <f>K156+L156</f>
        <v>19.096</v>
      </c>
      <c r="K156" s="309">
        <v>31.053000000000001</v>
      </c>
      <c r="L156" s="309">
        <v>-11.957000000000001</v>
      </c>
      <c r="M156" s="313">
        <v>45.944089999999996</v>
      </c>
      <c r="N156" s="314">
        <v>35.446869999999997</v>
      </c>
      <c r="O156" s="317">
        <v>10.497219999999999</v>
      </c>
      <c r="P156" s="319">
        <f>M156/F156</f>
        <v>3.8286741666666662</v>
      </c>
    </row>
    <row r="157" spans="1:16" s="117" customFormat="1">
      <c r="A157" s="302">
        <f t="shared" si="2"/>
        <v>151</v>
      </c>
      <c r="B157" s="116" t="s">
        <v>74</v>
      </c>
      <c r="C157" s="116" t="s">
        <v>51</v>
      </c>
      <c r="D157" s="145">
        <v>10</v>
      </c>
      <c r="E157" s="145" t="s">
        <v>18</v>
      </c>
      <c r="F157" s="303">
        <f>[3]МКД!$H$74</f>
        <v>8</v>
      </c>
      <c r="G157" s="307">
        <f>H157+I157</f>
        <v>25.744999999999997</v>
      </c>
      <c r="H157" s="307">
        <v>37.890999999999998</v>
      </c>
      <c r="I157" s="307">
        <v>-12.146000000000001</v>
      </c>
      <c r="J157" s="308">
        <f>K157+L157</f>
        <v>28.131999999999998</v>
      </c>
      <c r="K157" s="309">
        <v>40.277999999999999</v>
      </c>
      <c r="L157" s="309">
        <v>-12.146000000000001</v>
      </c>
      <c r="M157" s="313">
        <v>28.145099999999999</v>
      </c>
      <c r="N157" s="314">
        <v>40.291530000000002</v>
      </c>
      <c r="O157" s="317">
        <v>-12.146430000000001</v>
      </c>
      <c r="P157" s="319">
        <f>M157/F157</f>
        <v>3.5181374999999999</v>
      </c>
    </row>
    <row r="158" spans="1:16" s="117" customFormat="1">
      <c r="A158" s="302">
        <f t="shared" si="2"/>
        <v>152</v>
      </c>
      <c r="B158" s="116" t="s">
        <v>74</v>
      </c>
      <c r="C158" s="116" t="s">
        <v>35</v>
      </c>
      <c r="D158" s="145">
        <v>24</v>
      </c>
      <c r="E158" s="145"/>
      <c r="F158" s="303">
        <v>16</v>
      </c>
      <c r="G158" s="307">
        <f>H158+I158</f>
        <v>62.093000000000004</v>
      </c>
      <c r="H158" s="307">
        <v>62.093000000000004</v>
      </c>
      <c r="I158" s="307">
        <v>0</v>
      </c>
      <c r="J158" s="308">
        <f>K158+L158</f>
        <v>62.356000000000002</v>
      </c>
      <c r="K158" s="309">
        <v>62.356000000000002</v>
      </c>
      <c r="L158" s="309">
        <v>0</v>
      </c>
      <c r="M158" s="313">
        <v>53.401260000000001</v>
      </c>
      <c r="N158" s="314">
        <v>53.401260000000001</v>
      </c>
      <c r="O158" s="317">
        <v>0</v>
      </c>
      <c r="P158" s="319">
        <f>M158/F158</f>
        <v>3.33757875</v>
      </c>
    </row>
    <row r="159" spans="1:16" s="117" customFormat="1">
      <c r="A159" s="302">
        <f t="shared" si="2"/>
        <v>153</v>
      </c>
      <c r="B159" s="116" t="s">
        <v>74</v>
      </c>
      <c r="C159" s="116" t="s">
        <v>88</v>
      </c>
      <c r="D159" s="145">
        <v>5</v>
      </c>
      <c r="E159" s="145"/>
      <c r="F159" s="303">
        <f>[3]МКД!$H$128</f>
        <v>12</v>
      </c>
      <c r="G159" s="307">
        <f>H159+I159</f>
        <v>39.65</v>
      </c>
      <c r="H159" s="307">
        <v>39.186</v>
      </c>
      <c r="I159" s="307">
        <v>0.46400000000000002</v>
      </c>
      <c r="J159" s="308">
        <f>K159+L159</f>
        <v>46.591000000000001</v>
      </c>
      <c r="K159" s="309">
        <v>46.036000000000001</v>
      </c>
      <c r="L159" s="309">
        <v>0.55500000000000005</v>
      </c>
      <c r="M159" s="313">
        <v>36.936900000000001</v>
      </c>
      <c r="N159" s="314">
        <v>36.412730000000003</v>
      </c>
      <c r="O159" s="317">
        <v>0.52416999999999991</v>
      </c>
      <c r="P159" s="319">
        <f>M159/F159</f>
        <v>3.0780750000000001</v>
      </c>
    </row>
    <row r="160" spans="1:16" s="117" customFormat="1">
      <c r="A160" s="302">
        <f t="shared" si="2"/>
        <v>154</v>
      </c>
      <c r="B160" s="116" t="s">
        <v>74</v>
      </c>
      <c r="C160" s="116" t="s">
        <v>51</v>
      </c>
      <c r="D160" s="145">
        <v>2</v>
      </c>
      <c r="E160" s="145"/>
      <c r="F160" s="118">
        <f>[3]МКД!$H$70</f>
        <v>12</v>
      </c>
      <c r="G160" s="307">
        <f>H160+I160</f>
        <v>62.54</v>
      </c>
      <c r="H160" s="307">
        <v>49.899000000000001</v>
      </c>
      <c r="I160" s="307">
        <v>12.641</v>
      </c>
      <c r="J160" s="308">
        <f>K160+L160</f>
        <v>33.131</v>
      </c>
      <c r="K160" s="309">
        <v>48.176000000000002</v>
      </c>
      <c r="L160" s="309">
        <v>-15.045</v>
      </c>
      <c r="M160" s="313">
        <v>33.149479999999997</v>
      </c>
      <c r="N160" s="314">
        <v>43.9283</v>
      </c>
      <c r="O160" s="317">
        <v>-10.778820000000001</v>
      </c>
      <c r="P160" s="319">
        <f>M160/F160</f>
        <v>2.7624566666666666</v>
      </c>
    </row>
    <row r="161" spans="1:16" s="117" customFormat="1">
      <c r="A161" s="302">
        <f t="shared" si="2"/>
        <v>155</v>
      </c>
      <c r="B161" s="116" t="s">
        <v>74</v>
      </c>
      <c r="C161" s="116" t="s">
        <v>88</v>
      </c>
      <c r="D161" s="145">
        <v>4</v>
      </c>
      <c r="E161" s="145"/>
      <c r="F161" s="303">
        <f>[3]МКД!$H$127</f>
        <v>8</v>
      </c>
      <c r="G161" s="307">
        <f>H161+I161</f>
        <v>17.721999999999998</v>
      </c>
      <c r="H161" s="307">
        <v>17.562999999999999</v>
      </c>
      <c r="I161" s="307">
        <v>0.159</v>
      </c>
      <c r="J161" s="308">
        <f>K161+L161</f>
        <v>20.7</v>
      </c>
      <c r="K161" s="309">
        <v>20.428999999999998</v>
      </c>
      <c r="L161" s="309">
        <v>0.27100000000000002</v>
      </c>
      <c r="M161" s="313">
        <v>21.186980000000002</v>
      </c>
      <c r="N161" s="314">
        <v>20.981400000000001</v>
      </c>
      <c r="O161" s="317">
        <v>0.20558000000000001</v>
      </c>
      <c r="P161" s="319">
        <f>M161/F161</f>
        <v>2.6483725000000002</v>
      </c>
    </row>
    <row r="162" spans="1:16" s="117" customFormat="1">
      <c r="A162" s="302">
        <f t="shared" si="2"/>
        <v>156</v>
      </c>
      <c r="B162" s="116" t="s">
        <v>74</v>
      </c>
      <c r="C162" s="116" t="s">
        <v>35</v>
      </c>
      <c r="D162" s="145">
        <v>26</v>
      </c>
      <c r="E162" s="145" t="s">
        <v>17</v>
      </c>
      <c r="F162" s="303">
        <f>[3]МКД!$H$101</f>
        <v>12</v>
      </c>
      <c r="G162" s="307">
        <f>H162+I162</f>
        <v>9.9740000000000002</v>
      </c>
      <c r="H162" s="307">
        <v>23.363</v>
      </c>
      <c r="I162" s="307">
        <v>-13.388999999999999</v>
      </c>
      <c r="J162" s="308">
        <f>K162+L162</f>
        <v>22.764000000000003</v>
      </c>
      <c r="K162" s="309">
        <v>34.621000000000002</v>
      </c>
      <c r="L162" s="309">
        <v>-11.856999999999999</v>
      </c>
      <c r="M162" s="313">
        <v>27.667530000000003</v>
      </c>
      <c r="N162" s="314">
        <v>41.308390000000003</v>
      </c>
      <c r="O162" s="317">
        <v>-13.64086</v>
      </c>
      <c r="P162" s="319">
        <f>M162/F162</f>
        <v>2.3056275000000004</v>
      </c>
    </row>
    <row r="163" spans="1:16" s="117" customFormat="1">
      <c r="A163" s="302">
        <f t="shared" si="2"/>
        <v>157</v>
      </c>
      <c r="B163" s="116" t="s">
        <v>74</v>
      </c>
      <c r="C163" s="116" t="s">
        <v>84</v>
      </c>
      <c r="D163" s="145">
        <v>11</v>
      </c>
      <c r="E163" s="145"/>
      <c r="F163" s="303">
        <f>[2]МКД!$H$67</f>
        <v>12</v>
      </c>
      <c r="G163" s="307">
        <f>H163+I163</f>
        <v>20.932000000000002</v>
      </c>
      <c r="H163" s="307">
        <v>21.638000000000002</v>
      </c>
      <c r="I163" s="307">
        <v>-0.70599999999999996</v>
      </c>
      <c r="J163" s="308">
        <f>K163+L163</f>
        <v>31.92</v>
      </c>
      <c r="K163" s="309">
        <v>31.92</v>
      </c>
      <c r="L163" s="309">
        <v>0</v>
      </c>
      <c r="M163" s="313">
        <v>27.307359999999999</v>
      </c>
      <c r="N163" s="314">
        <v>27.307359999999999</v>
      </c>
      <c r="O163" s="317">
        <v>0</v>
      </c>
      <c r="P163" s="319">
        <f>M163/F163</f>
        <v>2.2756133333333333</v>
      </c>
    </row>
    <row r="164" spans="1:16" s="117" customFormat="1">
      <c r="A164" s="302">
        <f t="shared" si="2"/>
        <v>158</v>
      </c>
      <c r="B164" s="120" t="s">
        <v>74</v>
      </c>
      <c r="C164" s="116" t="s">
        <v>84</v>
      </c>
      <c r="D164" s="145">
        <v>7</v>
      </c>
      <c r="E164" s="145"/>
      <c r="F164" s="303">
        <f>[1]МКД!$H$382</f>
        <v>12</v>
      </c>
      <c r="G164" s="307">
        <f>H164+I164</f>
        <v>19.599</v>
      </c>
      <c r="H164" s="307">
        <v>19.599</v>
      </c>
      <c r="I164" s="307">
        <v>0</v>
      </c>
      <c r="J164" s="308">
        <f>K164+L164</f>
        <v>19.640999999999998</v>
      </c>
      <c r="K164" s="309">
        <v>19.640999999999998</v>
      </c>
      <c r="L164" s="309">
        <v>0</v>
      </c>
      <c r="M164" s="313">
        <v>21.098100000000002</v>
      </c>
      <c r="N164" s="314">
        <v>21.098100000000002</v>
      </c>
      <c r="O164" s="317">
        <v>0</v>
      </c>
      <c r="P164" s="319">
        <f>M164/F164</f>
        <v>1.7581750000000003</v>
      </c>
    </row>
    <row r="165" spans="1:16" s="117" customFormat="1">
      <c r="A165" s="302">
        <f t="shared" si="2"/>
        <v>159</v>
      </c>
      <c r="B165" s="116" t="s">
        <v>74</v>
      </c>
      <c r="C165" s="116" t="s">
        <v>77</v>
      </c>
      <c r="D165" s="145">
        <v>75</v>
      </c>
      <c r="E165" s="145"/>
      <c r="F165" s="303">
        <f>[2]МКД!$H$23</f>
        <v>2</v>
      </c>
      <c r="G165" s="307">
        <f>H165+I165</f>
        <v>1.448</v>
      </c>
      <c r="H165" s="307">
        <v>1.4</v>
      </c>
      <c r="I165" s="307">
        <v>4.8000000000000001E-2</v>
      </c>
      <c r="J165" s="308">
        <f>K165+L165</f>
        <v>2.73</v>
      </c>
      <c r="K165" s="309">
        <v>2.665</v>
      </c>
      <c r="L165" s="309">
        <v>6.5000000000000002E-2</v>
      </c>
      <c r="M165" s="313">
        <v>2.7307100000000002</v>
      </c>
      <c r="N165" s="314">
        <v>2.6650200000000002</v>
      </c>
      <c r="O165" s="317">
        <v>6.5689999999999998E-2</v>
      </c>
      <c r="P165" s="319">
        <f>M165/F165</f>
        <v>1.3653550000000001</v>
      </c>
    </row>
    <row r="166" spans="1:16" s="117" customFormat="1">
      <c r="A166" s="302">
        <f t="shared" si="2"/>
        <v>160</v>
      </c>
      <c r="B166" s="116" t="s">
        <v>74</v>
      </c>
      <c r="C166" s="116" t="s">
        <v>86</v>
      </c>
      <c r="D166" s="145">
        <v>5</v>
      </c>
      <c r="E166" s="145"/>
      <c r="F166" s="303">
        <f>[3]МКД!$H$104</f>
        <v>12</v>
      </c>
      <c r="G166" s="307">
        <f>H166+I166</f>
        <v>29.360999999999997</v>
      </c>
      <c r="H166" s="307">
        <v>19.181999999999999</v>
      </c>
      <c r="I166" s="307">
        <v>10.179</v>
      </c>
      <c r="J166" s="308">
        <f>K166+L166</f>
        <v>20.833000000000002</v>
      </c>
      <c r="K166" s="309">
        <v>18.675000000000001</v>
      </c>
      <c r="L166" s="309">
        <v>2.1579999999999999</v>
      </c>
      <c r="M166" s="313">
        <v>15.416259999999998</v>
      </c>
      <c r="N166" s="314">
        <v>17.008119999999998</v>
      </c>
      <c r="O166" s="317">
        <v>-1.5918599999999998</v>
      </c>
      <c r="P166" s="319">
        <f>M166/F166</f>
        <v>1.2846883333333332</v>
      </c>
    </row>
    <row r="167" spans="1:16" s="117" customFormat="1">
      <c r="A167" s="302">
        <f t="shared" si="2"/>
        <v>161</v>
      </c>
      <c r="B167" s="119" t="s">
        <v>74</v>
      </c>
      <c r="C167" s="119" t="s">
        <v>88</v>
      </c>
      <c r="D167" s="146">
        <v>9</v>
      </c>
      <c r="E167" s="146"/>
      <c r="F167" s="303">
        <f>[3]МКД!$H$131</f>
        <v>12</v>
      </c>
      <c r="G167" s="307">
        <f>H167+I167</f>
        <v>21.262</v>
      </c>
      <c r="H167" s="307">
        <v>21.963000000000001</v>
      </c>
      <c r="I167" s="307">
        <v>-0.70099999999999996</v>
      </c>
      <c r="J167" s="308">
        <f>K167+L167</f>
        <v>5.181</v>
      </c>
      <c r="K167" s="309">
        <v>5.7839999999999998</v>
      </c>
      <c r="L167" s="309">
        <v>-0.60299999999999998</v>
      </c>
      <c r="M167" s="313">
        <v>11.71946</v>
      </c>
      <c r="N167" s="314">
        <v>12.92657</v>
      </c>
      <c r="O167" s="317">
        <v>-1.2071100000000001</v>
      </c>
      <c r="P167" s="319">
        <f>M167/F167</f>
        <v>0.97662166666666661</v>
      </c>
    </row>
    <row r="168" spans="1:16" s="122" customFormat="1">
      <c r="A168" s="64"/>
      <c r="B168" s="121" t="s">
        <v>8</v>
      </c>
      <c r="C168" s="64"/>
      <c r="D168" s="64"/>
      <c r="E168" s="64"/>
      <c r="F168" s="107">
        <f>SUM(F7:F167)</f>
        <v>2278</v>
      </c>
      <c r="G168" s="315">
        <f>SUM(G7:G167)</f>
        <v>50710.089700000004</v>
      </c>
      <c r="H168" s="315">
        <f t="shared" ref="H168:K168" si="3">SUM(H7:H167)</f>
        <v>21250.500999999975</v>
      </c>
      <c r="I168" s="315">
        <f t="shared" si="3"/>
        <v>29459.588700000008</v>
      </c>
      <c r="J168" s="315">
        <f t="shared" si="3"/>
        <v>53418.093599999978</v>
      </c>
      <c r="K168" s="315">
        <f t="shared" si="3"/>
        <v>22316.232999999997</v>
      </c>
      <c r="L168" s="315">
        <f>SUM(L7:L167)</f>
        <v>31101.860600000015</v>
      </c>
      <c r="M168" s="315">
        <f t="shared" ref="M168:O168" si="4">SUM(M7:M167)</f>
        <v>53996.207690000017</v>
      </c>
      <c r="N168" s="315">
        <f t="shared" si="4"/>
        <v>22424.130599999982</v>
      </c>
      <c r="O168" s="315">
        <f t="shared" si="4"/>
        <v>31572.077089999999</v>
      </c>
      <c r="P168" s="108"/>
    </row>
    <row r="169" spans="1:16" s="123" customFormat="1">
      <c r="A169" s="199" t="s">
        <v>112</v>
      </c>
      <c r="B169" s="199"/>
      <c r="C169" s="199"/>
      <c r="D169" s="199"/>
      <c r="E169" s="199"/>
      <c r="F169" s="199"/>
      <c r="G169" s="311"/>
      <c r="H169" s="311"/>
      <c r="I169" s="311"/>
      <c r="J169" s="311"/>
      <c r="K169" s="311"/>
      <c r="L169" s="311"/>
      <c r="M169" s="311"/>
      <c r="N169" s="311"/>
      <c r="O169" s="311"/>
      <c r="P169" s="320"/>
    </row>
    <row r="170" spans="1:16" s="136" customFormat="1">
      <c r="A170" s="135">
        <v>1</v>
      </c>
      <c r="B170" s="116" t="s">
        <v>74</v>
      </c>
      <c r="C170" s="116" t="s">
        <v>77</v>
      </c>
      <c r="D170" s="145">
        <v>5</v>
      </c>
      <c r="E170" s="145"/>
      <c r="F170" s="118">
        <f>[1]МКД!$H$230</f>
        <v>15</v>
      </c>
      <c r="G170" s="307">
        <f>H170+I170</f>
        <v>107.37</v>
      </c>
      <c r="H170" s="307">
        <v>55.281999999999996</v>
      </c>
      <c r="I170" s="307">
        <v>52.088000000000001</v>
      </c>
      <c r="J170" s="307">
        <f>K170+L170</f>
        <v>121.187</v>
      </c>
      <c r="K170" s="118">
        <v>62.548999999999999</v>
      </c>
      <c r="L170" s="118">
        <v>58.637999999999998</v>
      </c>
      <c r="M170" s="316">
        <v>83.801130000000001</v>
      </c>
      <c r="N170" s="307">
        <v>49.304569999999998</v>
      </c>
      <c r="O170" s="318">
        <v>34.496559999999995</v>
      </c>
      <c r="P170" s="319">
        <f>M170/F170</f>
        <v>5.5867420000000001</v>
      </c>
    </row>
    <row r="171" spans="1:16" s="136" customFormat="1">
      <c r="A171" s="135">
        <f>A170+1</f>
        <v>2</v>
      </c>
      <c r="B171" s="116" t="s">
        <v>74</v>
      </c>
      <c r="C171" s="116" t="s">
        <v>77</v>
      </c>
      <c r="D171" s="145">
        <v>44</v>
      </c>
      <c r="E171" s="145"/>
      <c r="F171" s="118">
        <v>33</v>
      </c>
      <c r="G171" s="307">
        <f t="shared" ref="G171:G185" si="5">H171+I171</f>
        <v>2.8690000000000002</v>
      </c>
      <c r="H171" s="307">
        <v>2.8690000000000002</v>
      </c>
      <c r="I171" s="307">
        <v>0</v>
      </c>
      <c r="J171" s="307">
        <f t="shared" ref="J171:J182" si="6">K171+L171</f>
        <v>2.8690000000000002</v>
      </c>
      <c r="K171" s="118">
        <v>2.8690000000000002</v>
      </c>
      <c r="L171" s="118">
        <v>0</v>
      </c>
      <c r="M171" s="316">
        <v>2.86951</v>
      </c>
      <c r="N171" s="307">
        <v>2.86951</v>
      </c>
      <c r="O171" s="318">
        <v>0</v>
      </c>
      <c r="P171" s="319">
        <f>M171/F171</f>
        <v>8.6954848484848482E-2</v>
      </c>
    </row>
    <row r="172" spans="1:16" s="136" customFormat="1">
      <c r="A172" s="135">
        <f t="shared" ref="A172:A219" si="7">A171+1</f>
        <v>3</v>
      </c>
      <c r="B172" s="116" t="s">
        <v>74</v>
      </c>
      <c r="C172" s="116" t="s">
        <v>77</v>
      </c>
      <c r="D172" s="145">
        <v>66</v>
      </c>
      <c r="E172" s="145" t="s">
        <v>17</v>
      </c>
      <c r="F172" s="118">
        <f>[1]МКД!$H$231</f>
        <v>2</v>
      </c>
      <c r="G172" s="307">
        <f>H172+I172</f>
        <v>71.126999999999995</v>
      </c>
      <c r="H172" s="307">
        <v>70.427999999999997</v>
      </c>
      <c r="I172" s="307">
        <v>0.69899999999999995</v>
      </c>
      <c r="J172" s="307">
        <f>K172+L172</f>
        <v>78.260999999999996</v>
      </c>
      <c r="K172" s="118">
        <v>77.528999999999996</v>
      </c>
      <c r="L172" s="118">
        <v>0.73199999999999998</v>
      </c>
      <c r="M172" s="316">
        <v>77.089730000000003</v>
      </c>
      <c r="N172" s="307">
        <v>76.357320000000001</v>
      </c>
      <c r="O172" s="318">
        <v>0.73241000000000001</v>
      </c>
      <c r="P172" s="319">
        <f t="shared" ref="P172:P219" si="8">M172/F172</f>
        <v>38.544865000000001</v>
      </c>
    </row>
    <row r="173" spans="1:16" s="136" customFormat="1">
      <c r="A173" s="135">
        <f t="shared" si="7"/>
        <v>4</v>
      </c>
      <c r="B173" s="116" t="s">
        <v>74</v>
      </c>
      <c r="C173" s="116" t="s">
        <v>105</v>
      </c>
      <c r="D173" s="145">
        <v>17</v>
      </c>
      <c r="E173" s="145"/>
      <c r="F173" s="118">
        <v>12</v>
      </c>
      <c r="G173" s="307">
        <f t="shared" si="5"/>
        <v>102.607</v>
      </c>
      <c r="H173" s="307">
        <v>102.33499999999999</v>
      </c>
      <c r="I173" s="307">
        <v>0.27200000000000002</v>
      </c>
      <c r="J173" s="307">
        <f t="shared" si="6"/>
        <v>102.607</v>
      </c>
      <c r="K173" s="118">
        <v>102.33499999999999</v>
      </c>
      <c r="L173" s="118">
        <v>0.27200000000000002</v>
      </c>
      <c r="M173" s="316">
        <v>102.60777</v>
      </c>
      <c r="N173" s="307">
        <v>102.33503</v>
      </c>
      <c r="O173" s="318">
        <v>0.27273999999999993</v>
      </c>
      <c r="P173" s="319">
        <f t="shared" si="8"/>
        <v>8.5506475000000002</v>
      </c>
    </row>
    <row r="174" spans="1:16" s="136" customFormat="1">
      <c r="A174" s="135">
        <f t="shared" si="7"/>
        <v>5</v>
      </c>
      <c r="B174" s="116" t="s">
        <v>74</v>
      </c>
      <c r="C174" s="116" t="s">
        <v>79</v>
      </c>
      <c r="D174" s="145">
        <v>28</v>
      </c>
      <c r="E174" s="145"/>
      <c r="F174" s="118">
        <v>8</v>
      </c>
      <c r="G174" s="307">
        <f t="shared" si="5"/>
        <v>99.416999999999987</v>
      </c>
      <c r="H174" s="307">
        <f>130.021-30.406-0.198</f>
        <v>99.416999999999987</v>
      </c>
      <c r="I174" s="307">
        <v>0</v>
      </c>
      <c r="J174" s="307">
        <f t="shared" si="6"/>
        <v>99.417000000000002</v>
      </c>
      <c r="K174" s="118">
        <v>99.417000000000002</v>
      </c>
      <c r="L174" s="118">
        <v>0</v>
      </c>
      <c r="M174" s="316">
        <v>38.204440000000005</v>
      </c>
      <c r="N174" s="307">
        <v>38.204440000000005</v>
      </c>
      <c r="O174" s="318">
        <v>0</v>
      </c>
      <c r="P174" s="319">
        <f t="shared" si="8"/>
        <v>4.7755550000000007</v>
      </c>
    </row>
    <row r="175" spans="1:16" s="136" customFormat="1">
      <c r="A175" s="135">
        <f t="shared" si="7"/>
        <v>6</v>
      </c>
      <c r="B175" s="116" t="s">
        <v>74</v>
      </c>
      <c r="C175" s="116" t="s">
        <v>32</v>
      </c>
      <c r="D175" s="145">
        <v>16</v>
      </c>
      <c r="E175" s="145"/>
      <c r="F175" s="118">
        <v>5</v>
      </c>
      <c r="G175" s="307">
        <f t="shared" si="5"/>
        <v>40.479999999999997</v>
      </c>
      <c r="H175" s="307">
        <v>39.911999999999999</v>
      </c>
      <c r="I175" s="307">
        <v>0.56799999999999995</v>
      </c>
      <c r="J175" s="307">
        <f t="shared" si="6"/>
        <v>100.383</v>
      </c>
      <c r="K175" s="118">
        <v>39.911999999999999</v>
      </c>
      <c r="L175" s="118">
        <v>60.470999999999997</v>
      </c>
      <c r="M175" s="316">
        <v>100.38397000000001</v>
      </c>
      <c r="N175" s="307">
        <v>39.912759999999999</v>
      </c>
      <c r="O175" s="318">
        <v>60.471209999999999</v>
      </c>
      <c r="P175" s="319">
        <f t="shared" si="8"/>
        <v>20.076794</v>
      </c>
    </row>
    <row r="176" spans="1:16" s="136" customFormat="1">
      <c r="A176" s="135">
        <f t="shared" si="7"/>
        <v>7</v>
      </c>
      <c r="B176" s="116" t="s">
        <v>74</v>
      </c>
      <c r="C176" s="116" t="s">
        <v>82</v>
      </c>
      <c r="D176" s="145">
        <v>4</v>
      </c>
      <c r="E176" s="145"/>
      <c r="F176" s="118">
        <v>8</v>
      </c>
      <c r="G176" s="307">
        <f t="shared" si="5"/>
        <v>33.151000000000003</v>
      </c>
      <c r="H176" s="307">
        <v>25.17</v>
      </c>
      <c r="I176" s="307">
        <v>7.9809999999999999</v>
      </c>
      <c r="J176" s="307">
        <f t="shared" si="6"/>
        <v>33.151000000000003</v>
      </c>
      <c r="K176" s="118">
        <v>25.17</v>
      </c>
      <c r="L176" s="118">
        <v>7.9809999999999999</v>
      </c>
      <c r="M176" s="316">
        <v>33.151520000000005</v>
      </c>
      <c r="N176" s="307">
        <v>25.170300000000001</v>
      </c>
      <c r="O176" s="318">
        <v>7.9812200000000004</v>
      </c>
      <c r="P176" s="319">
        <f t="shared" si="8"/>
        <v>4.1439400000000006</v>
      </c>
    </row>
    <row r="177" spans="1:16" s="136" customFormat="1">
      <c r="A177" s="135">
        <f t="shared" si="7"/>
        <v>8</v>
      </c>
      <c r="B177" s="116" t="s">
        <v>74</v>
      </c>
      <c r="C177" s="116" t="s">
        <v>16</v>
      </c>
      <c r="D177" s="145">
        <v>30</v>
      </c>
      <c r="E177" s="145"/>
      <c r="F177" s="118">
        <f>[1]МКД!$H$238</f>
        <v>19</v>
      </c>
      <c r="G177" s="307">
        <f t="shared" si="5"/>
        <v>112.244</v>
      </c>
      <c r="H177" s="307">
        <v>37.814999999999998</v>
      </c>
      <c r="I177" s="307">
        <v>74.429000000000002</v>
      </c>
      <c r="J177" s="307">
        <f t="shared" si="6"/>
        <v>112.244</v>
      </c>
      <c r="K177" s="118">
        <v>37.814999999999998</v>
      </c>
      <c r="L177" s="118">
        <v>74.429000000000002</v>
      </c>
      <c r="M177" s="316">
        <v>112.24436</v>
      </c>
      <c r="N177" s="307">
        <v>37.815289999999997</v>
      </c>
      <c r="O177" s="318">
        <v>74.42907000000001</v>
      </c>
      <c r="P177" s="319">
        <f t="shared" si="8"/>
        <v>5.9075978947368419</v>
      </c>
    </row>
    <row r="178" spans="1:16" s="136" customFormat="1">
      <c r="A178" s="135">
        <f t="shared" si="7"/>
        <v>9</v>
      </c>
      <c r="B178" s="116" t="s">
        <v>74</v>
      </c>
      <c r="C178" s="116" t="s">
        <v>16</v>
      </c>
      <c r="D178" s="145">
        <v>32</v>
      </c>
      <c r="E178" s="145"/>
      <c r="F178" s="118">
        <f>[1]МКД!$H$239</f>
        <v>12</v>
      </c>
      <c r="G178" s="307">
        <f t="shared" si="5"/>
        <v>117.898</v>
      </c>
      <c r="H178" s="307">
        <v>53.7</v>
      </c>
      <c r="I178" s="307">
        <v>64.197999999999993</v>
      </c>
      <c r="J178" s="307">
        <f t="shared" si="6"/>
        <v>117.898</v>
      </c>
      <c r="K178" s="118">
        <v>53.7</v>
      </c>
      <c r="L178" s="118">
        <v>64.197999999999993</v>
      </c>
      <c r="M178" s="316">
        <v>117.89854</v>
      </c>
      <c r="N178" s="307">
        <v>53.700150000000001</v>
      </c>
      <c r="O178" s="318">
        <v>64.198390000000003</v>
      </c>
      <c r="P178" s="319">
        <f t="shared" si="8"/>
        <v>9.8248783333333325</v>
      </c>
    </row>
    <row r="179" spans="1:16" s="136" customFormat="1">
      <c r="A179" s="135">
        <f t="shared" si="7"/>
        <v>10</v>
      </c>
      <c r="B179" s="116" t="s">
        <v>74</v>
      </c>
      <c r="C179" s="116" t="s">
        <v>16</v>
      </c>
      <c r="D179" s="145">
        <v>46</v>
      </c>
      <c r="E179" s="145" t="s">
        <v>17</v>
      </c>
      <c r="F179" s="137">
        <f>'[1]снесены, расселены'!$J$129</f>
        <v>14</v>
      </c>
      <c r="G179" s="307">
        <f t="shared" si="5"/>
        <v>163.38</v>
      </c>
      <c r="H179" s="307">
        <v>117.583</v>
      </c>
      <c r="I179" s="307">
        <v>45.796999999999997</v>
      </c>
      <c r="J179" s="307">
        <f t="shared" si="6"/>
        <v>163.38</v>
      </c>
      <c r="K179" s="118">
        <v>118.16200000000001</v>
      </c>
      <c r="L179" s="118">
        <v>45.218000000000004</v>
      </c>
      <c r="M179" s="316">
        <v>163.38118</v>
      </c>
      <c r="N179" s="307">
        <v>118.16297</v>
      </c>
      <c r="O179" s="318">
        <v>45.218209999999999</v>
      </c>
      <c r="P179" s="319">
        <f t="shared" si="8"/>
        <v>11.670084285714285</v>
      </c>
    </row>
    <row r="180" spans="1:16" s="136" customFormat="1">
      <c r="A180" s="135">
        <f t="shared" si="7"/>
        <v>11</v>
      </c>
      <c r="B180" s="116" t="s">
        <v>74</v>
      </c>
      <c r="C180" s="116" t="s">
        <v>16</v>
      </c>
      <c r="D180" s="145">
        <v>56</v>
      </c>
      <c r="E180" s="145"/>
      <c r="F180" s="118">
        <v>12</v>
      </c>
      <c r="G180" s="307">
        <f t="shared" si="5"/>
        <v>114.254</v>
      </c>
      <c r="H180" s="307">
        <v>109.861</v>
      </c>
      <c r="I180" s="307">
        <v>4.3929999999999998</v>
      </c>
      <c r="J180" s="307">
        <f t="shared" si="6"/>
        <v>114.251</v>
      </c>
      <c r="K180" s="118">
        <v>109.861</v>
      </c>
      <c r="L180" s="118">
        <v>4.3899999999999997</v>
      </c>
      <c r="M180" s="316">
        <v>114.25494999999999</v>
      </c>
      <c r="N180" s="307">
        <v>111.69981999999999</v>
      </c>
      <c r="O180" s="318">
        <v>2.5551300000000001</v>
      </c>
      <c r="P180" s="319">
        <f t="shared" si="8"/>
        <v>9.5212458333333334</v>
      </c>
    </row>
    <row r="181" spans="1:16" s="136" customFormat="1">
      <c r="A181" s="135">
        <f t="shared" si="7"/>
        <v>12</v>
      </c>
      <c r="B181" s="116" t="s">
        <v>74</v>
      </c>
      <c r="C181" s="116" t="s">
        <v>83</v>
      </c>
      <c r="D181" s="145">
        <v>34</v>
      </c>
      <c r="E181" s="145"/>
      <c r="F181" s="118">
        <f>[2]МКД!$H$62</f>
        <v>3</v>
      </c>
      <c r="G181" s="307">
        <f t="shared" si="5"/>
        <v>41.274000000000001</v>
      </c>
      <c r="H181" s="307">
        <v>0</v>
      </c>
      <c r="I181" s="307">
        <v>41.274000000000001</v>
      </c>
      <c r="J181" s="307">
        <f t="shared" si="6"/>
        <v>41.27</v>
      </c>
      <c r="K181" s="118">
        <v>0</v>
      </c>
      <c r="L181" s="118">
        <v>41.27</v>
      </c>
      <c r="M181" s="316">
        <v>32.020249999999997</v>
      </c>
      <c r="N181" s="307">
        <v>0</v>
      </c>
      <c r="O181" s="318">
        <v>32.020249999999997</v>
      </c>
      <c r="P181" s="319">
        <f t="shared" si="8"/>
        <v>10.673416666666666</v>
      </c>
    </row>
    <row r="182" spans="1:16" s="136" customFormat="1">
      <c r="A182" s="135">
        <f t="shared" si="7"/>
        <v>13</v>
      </c>
      <c r="B182" s="116" t="s">
        <v>74</v>
      </c>
      <c r="C182" s="116" t="s">
        <v>99</v>
      </c>
      <c r="D182" s="145">
        <v>3</v>
      </c>
      <c r="E182" s="145"/>
      <c r="F182" s="118">
        <v>49</v>
      </c>
      <c r="G182" s="307">
        <f t="shared" si="5"/>
        <v>210.227</v>
      </c>
      <c r="H182" s="307">
        <v>92.004000000000005</v>
      </c>
      <c r="I182" s="307">
        <v>118.223</v>
      </c>
      <c r="J182" s="307">
        <f t="shared" si="6"/>
        <v>210.227</v>
      </c>
      <c r="K182" s="118">
        <v>92.004000000000005</v>
      </c>
      <c r="L182" s="118">
        <v>118.223</v>
      </c>
      <c r="M182" s="316">
        <v>210.22795000000002</v>
      </c>
      <c r="N182" s="307">
        <v>92.004000000000005</v>
      </c>
      <c r="O182" s="318">
        <v>118.22395000000002</v>
      </c>
      <c r="P182" s="319">
        <f t="shared" si="8"/>
        <v>4.2903663265306129</v>
      </c>
    </row>
    <row r="183" spans="1:16" s="136" customFormat="1">
      <c r="A183" s="135">
        <f t="shared" si="7"/>
        <v>14</v>
      </c>
      <c r="B183" s="116" t="s">
        <v>74</v>
      </c>
      <c r="C183" s="116" t="s">
        <v>84</v>
      </c>
      <c r="D183" s="145">
        <v>2</v>
      </c>
      <c r="E183" s="145"/>
      <c r="F183" s="118">
        <f>[2]МКД!$H$63</f>
        <v>12</v>
      </c>
      <c r="G183" s="307">
        <f t="shared" si="5"/>
        <v>109.795</v>
      </c>
      <c r="H183" s="307">
        <v>39.143000000000001</v>
      </c>
      <c r="I183" s="307">
        <v>70.652000000000001</v>
      </c>
      <c r="J183" s="307">
        <f t="shared" ref="J183:J185" si="9">K183+L183</f>
        <v>109.795</v>
      </c>
      <c r="K183" s="118">
        <v>39.784999999999997</v>
      </c>
      <c r="L183" s="118">
        <v>70.010000000000005</v>
      </c>
      <c r="M183" s="316">
        <v>109.79612</v>
      </c>
      <c r="N183" s="307">
        <v>39.785600000000002</v>
      </c>
      <c r="O183" s="318">
        <v>70.01052</v>
      </c>
      <c r="P183" s="319">
        <f t="shared" si="8"/>
        <v>9.1496766666666662</v>
      </c>
    </row>
    <row r="184" spans="1:16" s="136" customFormat="1">
      <c r="A184" s="135">
        <f t="shared" si="7"/>
        <v>15</v>
      </c>
      <c r="B184" s="116" t="s">
        <v>74</v>
      </c>
      <c r="C184" s="116" t="s">
        <v>51</v>
      </c>
      <c r="D184" s="145">
        <v>6</v>
      </c>
      <c r="E184" s="145" t="s">
        <v>17</v>
      </c>
      <c r="F184" s="118">
        <v>15</v>
      </c>
      <c r="G184" s="307">
        <f t="shared" si="5"/>
        <v>0.88</v>
      </c>
      <c r="H184" s="307">
        <v>0.88</v>
      </c>
      <c r="I184" s="307">
        <v>0</v>
      </c>
      <c r="J184" s="307">
        <f t="shared" si="9"/>
        <v>0.88</v>
      </c>
      <c r="K184" s="118">
        <v>0.88</v>
      </c>
      <c r="L184" s="118">
        <v>0</v>
      </c>
      <c r="M184" s="316">
        <v>0.88</v>
      </c>
      <c r="N184" s="307">
        <v>0.88</v>
      </c>
      <c r="O184" s="318">
        <v>0</v>
      </c>
      <c r="P184" s="319">
        <f t="shared" si="8"/>
        <v>5.8666666666666666E-2</v>
      </c>
    </row>
    <row r="185" spans="1:16" s="136" customFormat="1">
      <c r="A185" s="135">
        <f t="shared" si="7"/>
        <v>16</v>
      </c>
      <c r="B185" s="116" t="s">
        <v>74</v>
      </c>
      <c r="C185" s="116" t="s">
        <v>34</v>
      </c>
      <c r="D185" s="145">
        <v>4</v>
      </c>
      <c r="E185" s="145"/>
      <c r="F185" s="118">
        <v>3</v>
      </c>
      <c r="G185" s="307">
        <f t="shared" si="5"/>
        <v>7.9999999999999793E-3</v>
      </c>
      <c r="H185" s="307">
        <v>-0.13500000000000001</v>
      </c>
      <c r="I185" s="307">
        <v>0.14299999999999999</v>
      </c>
      <c r="J185" s="312">
        <f t="shared" si="9"/>
        <v>7.9999999999999793E-3</v>
      </c>
      <c r="K185" s="118">
        <v>-0.13500000000000001</v>
      </c>
      <c r="L185" s="118">
        <v>0.14299999999999999</v>
      </c>
      <c r="M185" s="316">
        <v>7.6099999999997836E-3</v>
      </c>
      <c r="N185" s="307">
        <v>-0.13549000000000025</v>
      </c>
      <c r="O185" s="318">
        <v>0.14310000000000003</v>
      </c>
      <c r="P185" s="319">
        <f t="shared" si="8"/>
        <v>2.5366666666665947E-3</v>
      </c>
    </row>
    <row r="186" spans="1:16" s="136" customFormat="1">
      <c r="A186" s="135">
        <f t="shared" si="7"/>
        <v>17</v>
      </c>
      <c r="B186" s="116" t="s">
        <v>74</v>
      </c>
      <c r="C186" s="116" t="s">
        <v>34</v>
      </c>
      <c r="D186" s="145">
        <v>22</v>
      </c>
      <c r="E186" s="145"/>
      <c r="F186" s="118">
        <v>12</v>
      </c>
      <c r="G186" s="307">
        <f>H186+I186</f>
        <v>282.99</v>
      </c>
      <c r="H186" s="307">
        <v>158.22800000000001</v>
      </c>
      <c r="I186" s="307">
        <v>124.762</v>
      </c>
      <c r="J186" s="307">
        <f t="shared" ref="J186:J189" si="10">K186+L186</f>
        <v>282.99</v>
      </c>
      <c r="K186" s="118">
        <v>158.22800000000001</v>
      </c>
      <c r="L186" s="118">
        <v>124.762</v>
      </c>
      <c r="M186" s="316">
        <v>282.99061999999998</v>
      </c>
      <c r="N186" s="307">
        <v>158.22832</v>
      </c>
      <c r="O186" s="318">
        <v>124.76229999999998</v>
      </c>
      <c r="P186" s="319">
        <f t="shared" si="8"/>
        <v>23.582551666666664</v>
      </c>
    </row>
    <row r="187" spans="1:16" s="136" customFormat="1">
      <c r="A187" s="135">
        <f t="shared" si="7"/>
        <v>18</v>
      </c>
      <c r="B187" s="116" t="s">
        <v>74</v>
      </c>
      <c r="C187" s="116" t="s">
        <v>34</v>
      </c>
      <c r="D187" s="145">
        <v>35</v>
      </c>
      <c r="E187" s="145"/>
      <c r="F187" s="118">
        <f>'[1]снесены, расселены'!$J$131</f>
        <v>25</v>
      </c>
      <c r="G187" s="307">
        <f t="shared" ref="G187:G191" si="11">H187+I187</f>
        <v>-1.706</v>
      </c>
      <c r="H187" s="307">
        <v>0</v>
      </c>
      <c r="I187" s="307">
        <v>-1.706</v>
      </c>
      <c r="J187" s="307">
        <f t="shared" si="10"/>
        <v>-1.706</v>
      </c>
      <c r="K187" s="118">
        <v>0</v>
      </c>
      <c r="L187" s="118">
        <v>-1.706</v>
      </c>
      <c r="M187" s="316">
        <v>-1.7066200000000245</v>
      </c>
      <c r="N187" s="307">
        <v>0</v>
      </c>
      <c r="O187" s="318">
        <v>-1.7066200000000245</v>
      </c>
      <c r="P187" s="319">
        <f t="shared" si="8"/>
        <v>-6.8264800000000972E-2</v>
      </c>
    </row>
    <row r="188" spans="1:16" s="136" customFormat="1">
      <c r="A188" s="135">
        <f t="shared" si="7"/>
        <v>19</v>
      </c>
      <c r="B188" s="116" t="s">
        <v>74</v>
      </c>
      <c r="C188" s="116" t="s">
        <v>71</v>
      </c>
      <c r="D188" s="145">
        <v>34</v>
      </c>
      <c r="E188" s="145"/>
      <c r="F188" s="118">
        <f>[3]МКД!$H$94</f>
        <v>84</v>
      </c>
      <c r="G188" s="307">
        <f t="shared" si="11"/>
        <v>3250.6549999999997</v>
      </c>
      <c r="H188" s="307">
        <v>1143.6980000000001</v>
      </c>
      <c r="I188" s="307">
        <v>2106.9569999999999</v>
      </c>
      <c r="J188" s="307">
        <f t="shared" si="10"/>
        <v>3040.1319999999996</v>
      </c>
      <c r="K188" s="118">
        <v>1069.3789999999999</v>
      </c>
      <c r="L188" s="118">
        <v>1970.7529999999999</v>
      </c>
      <c r="M188" s="316">
        <v>2885.3456099999999</v>
      </c>
      <c r="N188" s="307">
        <v>965.1319299999999</v>
      </c>
      <c r="O188" s="318">
        <v>1920.2136799999998</v>
      </c>
      <c r="P188" s="319">
        <f t="shared" si="8"/>
        <v>34.349352499999995</v>
      </c>
    </row>
    <row r="189" spans="1:16" s="136" customFormat="1">
      <c r="A189" s="135">
        <f t="shared" si="7"/>
        <v>20</v>
      </c>
      <c r="B189" s="116" t="s">
        <v>74</v>
      </c>
      <c r="C189" s="116" t="s">
        <v>35</v>
      </c>
      <c r="D189" s="145">
        <v>8</v>
      </c>
      <c r="E189" s="145"/>
      <c r="F189" s="118">
        <f>[3]МКД!$H$95</f>
        <v>8</v>
      </c>
      <c r="G189" s="307">
        <f t="shared" si="11"/>
        <v>149.47799999999998</v>
      </c>
      <c r="H189" s="307">
        <v>19.07</v>
      </c>
      <c r="I189" s="307">
        <v>130.40799999999999</v>
      </c>
      <c r="J189" s="307">
        <f t="shared" si="10"/>
        <v>135.47800000000001</v>
      </c>
      <c r="K189" s="118">
        <v>19.07</v>
      </c>
      <c r="L189" s="118">
        <v>116.408</v>
      </c>
      <c r="M189" s="316">
        <v>128.47942</v>
      </c>
      <c r="N189" s="307">
        <v>19.070870000000003</v>
      </c>
      <c r="O189" s="318">
        <v>109.40855000000001</v>
      </c>
      <c r="P189" s="319">
        <f t="shared" si="8"/>
        <v>16.059927500000001</v>
      </c>
    </row>
    <row r="190" spans="1:16" s="136" customFormat="1">
      <c r="A190" s="135">
        <f t="shared" si="7"/>
        <v>21</v>
      </c>
      <c r="B190" s="116" t="s">
        <v>74</v>
      </c>
      <c r="C190" s="116" t="s">
        <v>35</v>
      </c>
      <c r="D190" s="145">
        <v>12</v>
      </c>
      <c r="E190" s="145"/>
      <c r="F190" s="118">
        <f>[1]МКД!$H$243</f>
        <v>12</v>
      </c>
      <c r="G190" s="307">
        <f t="shared" si="11"/>
        <v>152.94499999999999</v>
      </c>
      <c r="H190" s="307">
        <v>64.545000000000002</v>
      </c>
      <c r="I190" s="307">
        <v>88.4</v>
      </c>
      <c r="J190" s="307">
        <f t="shared" ref="J190:J192" si="12">K190+L190</f>
        <v>152.94499999999999</v>
      </c>
      <c r="K190" s="118">
        <v>64.545000000000002</v>
      </c>
      <c r="L190" s="118">
        <v>88.4</v>
      </c>
      <c r="M190" s="316">
        <v>152.94558000000001</v>
      </c>
      <c r="N190" s="307">
        <v>64.545190000000005</v>
      </c>
      <c r="O190" s="318">
        <v>88.400390000000002</v>
      </c>
      <c r="P190" s="319">
        <f t="shared" si="8"/>
        <v>12.745465000000001</v>
      </c>
    </row>
    <row r="191" spans="1:16" s="136" customFormat="1">
      <c r="A191" s="135">
        <f t="shared" si="7"/>
        <v>22</v>
      </c>
      <c r="B191" s="116" t="s">
        <v>74</v>
      </c>
      <c r="C191" s="116" t="s">
        <v>35</v>
      </c>
      <c r="D191" s="145">
        <v>28</v>
      </c>
      <c r="E191" s="145"/>
      <c r="F191" s="118">
        <f>[1]МКД!$H$386</f>
        <v>12</v>
      </c>
      <c r="G191" s="307">
        <f t="shared" si="11"/>
        <v>5.2549999999999999</v>
      </c>
      <c r="H191" s="307">
        <v>5.5549999999999997</v>
      </c>
      <c r="I191" s="307">
        <v>-0.3</v>
      </c>
      <c r="J191" s="307">
        <f t="shared" si="12"/>
        <v>5.2549999999999999</v>
      </c>
      <c r="K191" s="118">
        <v>5.5549999999999997</v>
      </c>
      <c r="L191" s="118">
        <v>-0.3</v>
      </c>
      <c r="M191" s="316">
        <v>5.1638299999999999</v>
      </c>
      <c r="N191" s="307">
        <v>5.4639899999999999</v>
      </c>
      <c r="O191" s="318">
        <v>-0.30016000000000004</v>
      </c>
      <c r="P191" s="319">
        <f t="shared" si="8"/>
        <v>0.43031916666666664</v>
      </c>
    </row>
    <row r="192" spans="1:16" s="136" customFormat="1">
      <c r="A192" s="135">
        <f t="shared" si="7"/>
        <v>23</v>
      </c>
      <c r="B192" s="116" t="s">
        <v>74</v>
      </c>
      <c r="C192" s="116" t="s">
        <v>86</v>
      </c>
      <c r="D192" s="145">
        <v>9</v>
      </c>
      <c r="E192" s="145"/>
      <c r="F192" s="118">
        <v>12</v>
      </c>
      <c r="G192" s="307">
        <f t="shared" ref="G192:G198" si="13">H192+I192</f>
        <v>2.1999999999999999E-2</v>
      </c>
      <c r="H192" s="307">
        <v>0</v>
      </c>
      <c r="I192" s="307">
        <v>2.1999999999999999E-2</v>
      </c>
      <c r="J192" s="307">
        <f t="shared" si="12"/>
        <v>2.1999999999999999E-2</v>
      </c>
      <c r="K192" s="118">
        <v>0</v>
      </c>
      <c r="L192" s="118">
        <v>2.1999999999999999E-2</v>
      </c>
      <c r="M192" s="316">
        <v>2.2370000000000004E-2</v>
      </c>
      <c r="N192" s="307">
        <v>0</v>
      </c>
      <c r="O192" s="318">
        <v>2.2370000000000004E-2</v>
      </c>
      <c r="P192" s="319">
        <f t="shared" si="8"/>
        <v>1.864166666666667E-3</v>
      </c>
    </row>
    <row r="193" spans="1:16" s="136" customFormat="1">
      <c r="A193" s="135">
        <f t="shared" si="7"/>
        <v>24</v>
      </c>
      <c r="B193" s="116" t="s">
        <v>74</v>
      </c>
      <c r="C193" s="116" t="s">
        <v>86</v>
      </c>
      <c r="D193" s="145">
        <v>19</v>
      </c>
      <c r="E193" s="145" t="s">
        <v>17</v>
      </c>
      <c r="F193" s="118">
        <v>12</v>
      </c>
      <c r="G193" s="307">
        <f t="shared" si="13"/>
        <v>97.597999999999999</v>
      </c>
      <c r="H193" s="307">
        <v>14.077</v>
      </c>
      <c r="I193" s="307">
        <v>83.521000000000001</v>
      </c>
      <c r="J193" s="307">
        <f t="shared" ref="J193:J202" si="14">K193+L193</f>
        <v>97.596999999999994</v>
      </c>
      <c r="K193" s="118">
        <v>14.077</v>
      </c>
      <c r="L193" s="118">
        <v>83.52</v>
      </c>
      <c r="M193" s="316">
        <v>97.597579999999994</v>
      </c>
      <c r="N193" s="307">
        <v>14.077580000000001</v>
      </c>
      <c r="O193" s="318">
        <v>83.52</v>
      </c>
      <c r="P193" s="319">
        <f t="shared" si="8"/>
        <v>8.1331316666666655</v>
      </c>
    </row>
    <row r="194" spans="1:16" s="136" customFormat="1">
      <c r="A194" s="135">
        <f t="shared" si="7"/>
        <v>25</v>
      </c>
      <c r="B194" s="116" t="s">
        <v>74</v>
      </c>
      <c r="C194" s="116" t="s">
        <v>86</v>
      </c>
      <c r="D194" s="145">
        <v>21</v>
      </c>
      <c r="E194" s="145"/>
      <c r="F194" s="118">
        <v>12</v>
      </c>
      <c r="G194" s="307">
        <f t="shared" si="13"/>
        <v>10.071</v>
      </c>
      <c r="H194" s="307">
        <v>5.1719999999999997</v>
      </c>
      <c r="I194" s="307">
        <v>4.899</v>
      </c>
      <c r="J194" s="307">
        <f t="shared" si="14"/>
        <v>10.071</v>
      </c>
      <c r="K194" s="118">
        <v>5.1719999999999997</v>
      </c>
      <c r="L194" s="118">
        <v>4.899</v>
      </c>
      <c r="M194" s="316">
        <v>10.071</v>
      </c>
      <c r="N194" s="307">
        <v>5.1719999999999997</v>
      </c>
      <c r="O194" s="318">
        <v>4.899</v>
      </c>
      <c r="P194" s="319">
        <f t="shared" si="8"/>
        <v>0.83924999999999994</v>
      </c>
    </row>
    <row r="195" spans="1:16" s="136" customFormat="1">
      <c r="A195" s="135">
        <f t="shared" si="7"/>
        <v>26</v>
      </c>
      <c r="B195" s="116" t="s">
        <v>74</v>
      </c>
      <c r="C195" s="116" t="s">
        <v>86</v>
      </c>
      <c r="D195" s="145">
        <v>37</v>
      </c>
      <c r="E195" s="145" t="s">
        <v>17</v>
      </c>
      <c r="F195" s="118">
        <f>[3]МКД!$H$118</f>
        <v>21</v>
      </c>
      <c r="G195" s="307">
        <f t="shared" si="13"/>
        <v>288.43099999999998</v>
      </c>
      <c r="H195" s="307">
        <v>86.79</v>
      </c>
      <c r="I195" s="307">
        <v>201.64099999999999</v>
      </c>
      <c r="J195" s="307">
        <f t="shared" si="14"/>
        <v>288.43099999999998</v>
      </c>
      <c r="K195" s="118">
        <v>86.79</v>
      </c>
      <c r="L195" s="118">
        <v>201.64099999999999</v>
      </c>
      <c r="M195" s="316">
        <v>288.43196</v>
      </c>
      <c r="N195" s="307">
        <v>86.790240000000011</v>
      </c>
      <c r="O195" s="318">
        <v>201.64171999999999</v>
      </c>
      <c r="P195" s="319">
        <f t="shared" si="8"/>
        <v>13.734855238095239</v>
      </c>
    </row>
    <row r="196" spans="1:16" s="136" customFormat="1">
      <c r="A196" s="135">
        <f t="shared" si="7"/>
        <v>27</v>
      </c>
      <c r="B196" s="116" t="s">
        <v>74</v>
      </c>
      <c r="C196" s="116" t="s">
        <v>86</v>
      </c>
      <c r="D196" s="145">
        <v>43</v>
      </c>
      <c r="E196" s="145"/>
      <c r="F196" s="118">
        <f>[3]МКД!$H$121</f>
        <v>35</v>
      </c>
      <c r="G196" s="307">
        <f t="shared" si="13"/>
        <v>164.34299999999999</v>
      </c>
      <c r="H196" s="307">
        <v>77.397999999999996</v>
      </c>
      <c r="I196" s="307">
        <v>86.944999999999993</v>
      </c>
      <c r="J196" s="307">
        <f t="shared" si="14"/>
        <v>164.34299999999999</v>
      </c>
      <c r="K196" s="118">
        <v>77.397999999999996</v>
      </c>
      <c r="L196" s="118">
        <v>86.944999999999993</v>
      </c>
      <c r="M196" s="316">
        <v>164.34325999999999</v>
      </c>
      <c r="N196" s="307">
        <v>77.398030000000006</v>
      </c>
      <c r="O196" s="318">
        <v>86.945229999999995</v>
      </c>
      <c r="P196" s="319">
        <f t="shared" si="8"/>
        <v>4.6955217142857135</v>
      </c>
    </row>
    <row r="197" spans="1:16" s="136" customFormat="1">
      <c r="A197" s="135">
        <f t="shared" si="7"/>
        <v>28</v>
      </c>
      <c r="B197" s="116" t="s">
        <v>74</v>
      </c>
      <c r="C197" s="116" t="s">
        <v>24</v>
      </c>
      <c r="D197" s="145">
        <v>16</v>
      </c>
      <c r="E197" s="145"/>
      <c r="F197" s="118">
        <v>10</v>
      </c>
      <c r="G197" s="307">
        <f t="shared" si="13"/>
        <v>166.52199999999999</v>
      </c>
      <c r="H197" s="307">
        <v>80.994</v>
      </c>
      <c r="I197" s="307">
        <v>85.528000000000006</v>
      </c>
      <c r="J197" s="307">
        <f t="shared" si="14"/>
        <v>166.52199999999999</v>
      </c>
      <c r="K197" s="118">
        <v>80.994</v>
      </c>
      <c r="L197" s="118">
        <v>85.528000000000006</v>
      </c>
      <c r="M197" s="316">
        <v>166.52295999999998</v>
      </c>
      <c r="N197" s="307">
        <v>80.994129999999998</v>
      </c>
      <c r="O197" s="318">
        <v>85.528829999999985</v>
      </c>
      <c r="P197" s="319">
        <f t="shared" si="8"/>
        <v>16.652296</v>
      </c>
    </row>
    <row r="198" spans="1:16" s="136" customFormat="1">
      <c r="A198" s="135">
        <f t="shared" si="7"/>
        <v>29</v>
      </c>
      <c r="B198" s="116" t="s">
        <v>74</v>
      </c>
      <c r="C198" s="116" t="s">
        <v>24</v>
      </c>
      <c r="D198" s="145">
        <v>18</v>
      </c>
      <c r="E198" s="145"/>
      <c r="F198" s="118">
        <v>4</v>
      </c>
      <c r="G198" s="307">
        <f t="shared" si="13"/>
        <v>212.18299999999999</v>
      </c>
      <c r="H198" s="307">
        <v>69.858000000000004</v>
      </c>
      <c r="I198" s="307">
        <v>142.32499999999999</v>
      </c>
      <c r="J198" s="307">
        <f t="shared" si="14"/>
        <v>212.18800000000002</v>
      </c>
      <c r="K198" s="118">
        <v>69.858000000000004</v>
      </c>
      <c r="L198" s="118">
        <v>142.33000000000001</v>
      </c>
      <c r="M198" s="316">
        <v>212.18871000000001</v>
      </c>
      <c r="N198" s="307">
        <v>69.858709999999988</v>
      </c>
      <c r="O198" s="318">
        <v>142.33000000000001</v>
      </c>
      <c r="P198" s="319">
        <f t="shared" si="8"/>
        <v>53.047177500000004</v>
      </c>
    </row>
    <row r="199" spans="1:16" s="136" customFormat="1">
      <c r="A199" s="135">
        <f t="shared" si="7"/>
        <v>30</v>
      </c>
      <c r="B199" s="116" t="s">
        <v>74</v>
      </c>
      <c r="C199" s="116" t="s">
        <v>87</v>
      </c>
      <c r="D199" s="145">
        <v>4</v>
      </c>
      <c r="E199" s="145"/>
      <c r="F199" s="118">
        <f>[1]МКД!$H$245</f>
        <v>12</v>
      </c>
      <c r="G199" s="307">
        <f>H199+I199</f>
        <v>52.923999999999999</v>
      </c>
      <c r="H199" s="307">
        <v>46.237000000000002</v>
      </c>
      <c r="I199" s="307">
        <v>6.6870000000000003</v>
      </c>
      <c r="J199" s="307">
        <f>K199+L199</f>
        <v>28.731999999999999</v>
      </c>
      <c r="K199" s="118">
        <v>25.108000000000001</v>
      </c>
      <c r="L199" s="118">
        <v>3.6240000000000001</v>
      </c>
      <c r="M199" s="316">
        <v>16.837700000000002</v>
      </c>
      <c r="N199" s="307">
        <v>15.87058</v>
      </c>
      <c r="O199" s="318">
        <v>0.96711999999999998</v>
      </c>
      <c r="P199" s="319">
        <f t="shared" si="8"/>
        <v>1.4031416666666667</v>
      </c>
    </row>
    <row r="200" spans="1:16" s="136" customFormat="1">
      <c r="A200" s="135">
        <f t="shared" si="7"/>
        <v>31</v>
      </c>
      <c r="B200" s="116" t="s">
        <v>74</v>
      </c>
      <c r="C200" s="116" t="s">
        <v>88</v>
      </c>
      <c r="D200" s="145">
        <v>3</v>
      </c>
      <c r="E200" s="145"/>
      <c r="F200" s="118">
        <f>[1]МКД!$H$246</f>
        <v>8</v>
      </c>
      <c r="G200" s="307">
        <f t="shared" ref="G200:G219" si="15">H200+I200</f>
        <v>50.523000000000003</v>
      </c>
      <c r="H200" s="307">
        <v>53.188000000000002</v>
      </c>
      <c r="I200" s="307">
        <v>-2.665</v>
      </c>
      <c r="J200" s="307">
        <f t="shared" si="14"/>
        <v>50.523000000000003</v>
      </c>
      <c r="K200" s="118">
        <v>53.188000000000002</v>
      </c>
      <c r="L200" s="118">
        <v>-2.665</v>
      </c>
      <c r="M200" s="316">
        <v>50.522910000000003</v>
      </c>
      <c r="N200" s="307">
        <v>53.188580000000002</v>
      </c>
      <c r="O200" s="318">
        <v>-2.66567</v>
      </c>
      <c r="P200" s="319">
        <f t="shared" si="8"/>
        <v>6.3153637500000004</v>
      </c>
    </row>
    <row r="201" spans="1:16" s="136" customFormat="1">
      <c r="A201" s="135">
        <f t="shared" si="7"/>
        <v>32</v>
      </c>
      <c r="B201" s="116" t="s">
        <v>74</v>
      </c>
      <c r="C201" s="116" t="s">
        <v>89</v>
      </c>
      <c r="D201" s="145">
        <v>5</v>
      </c>
      <c r="E201" s="145"/>
      <c r="F201" s="118">
        <v>8</v>
      </c>
      <c r="G201" s="307">
        <f t="shared" si="15"/>
        <v>4.4569999999999999</v>
      </c>
      <c r="H201" s="307">
        <v>4.4219999999999997</v>
      </c>
      <c r="I201" s="307">
        <v>3.5000000000000003E-2</v>
      </c>
      <c r="J201" s="307">
        <f t="shared" si="14"/>
        <v>4.4569999999999999</v>
      </c>
      <c r="K201" s="118">
        <v>4.4219999999999997</v>
      </c>
      <c r="L201" s="118">
        <v>3.5000000000000003E-2</v>
      </c>
      <c r="M201" s="316">
        <v>4.4577300000000006</v>
      </c>
      <c r="N201" s="307">
        <v>4.4222900000000003</v>
      </c>
      <c r="O201" s="318">
        <v>3.5439999999999999E-2</v>
      </c>
      <c r="P201" s="319">
        <f t="shared" si="8"/>
        <v>0.55721625000000008</v>
      </c>
    </row>
    <row r="202" spans="1:16" s="136" customFormat="1">
      <c r="A202" s="135">
        <f t="shared" si="7"/>
        <v>33</v>
      </c>
      <c r="B202" s="116" t="s">
        <v>74</v>
      </c>
      <c r="C202" s="116" t="s">
        <v>89</v>
      </c>
      <c r="D202" s="145">
        <v>6</v>
      </c>
      <c r="E202" s="145"/>
      <c r="F202" s="118">
        <v>8</v>
      </c>
      <c r="G202" s="307">
        <f t="shared" si="15"/>
        <v>100.72999999999999</v>
      </c>
      <c r="H202" s="307">
        <v>99.950999999999993</v>
      </c>
      <c r="I202" s="307">
        <v>0.77900000000000003</v>
      </c>
      <c r="J202" s="307">
        <f t="shared" si="14"/>
        <v>100.72999999999999</v>
      </c>
      <c r="K202" s="118">
        <v>99.950999999999993</v>
      </c>
      <c r="L202" s="118">
        <v>0.77900000000000003</v>
      </c>
      <c r="M202" s="316">
        <v>100.73197999999999</v>
      </c>
      <c r="N202" s="307">
        <v>99.951989999999995</v>
      </c>
      <c r="O202" s="318">
        <v>0.77998999999999996</v>
      </c>
      <c r="P202" s="319">
        <f t="shared" si="8"/>
        <v>12.591497499999999</v>
      </c>
    </row>
    <row r="203" spans="1:16" s="136" customFormat="1">
      <c r="A203" s="135">
        <f t="shared" si="7"/>
        <v>34</v>
      </c>
      <c r="B203" s="116" t="s">
        <v>74</v>
      </c>
      <c r="C203" s="116" t="s">
        <v>89</v>
      </c>
      <c r="D203" s="145">
        <v>10</v>
      </c>
      <c r="E203" s="145"/>
      <c r="F203" s="118">
        <v>12</v>
      </c>
      <c r="G203" s="307">
        <f t="shared" si="15"/>
        <v>82.662999999999997</v>
      </c>
      <c r="H203" s="307">
        <v>58.631</v>
      </c>
      <c r="I203" s="307">
        <v>24.032</v>
      </c>
      <c r="J203" s="307">
        <f t="shared" ref="J203:J205" si="16">K203+L203</f>
        <v>82.662999999999997</v>
      </c>
      <c r="K203" s="118">
        <v>58.631</v>
      </c>
      <c r="L203" s="118">
        <v>24.032</v>
      </c>
      <c r="M203" s="316">
        <v>82.664209999999997</v>
      </c>
      <c r="N203" s="307">
        <v>58.631440000000005</v>
      </c>
      <c r="O203" s="318">
        <v>24.032769999999999</v>
      </c>
      <c r="P203" s="319">
        <f t="shared" si="8"/>
        <v>6.8886841666666667</v>
      </c>
    </row>
    <row r="204" spans="1:16" s="136" customFormat="1">
      <c r="A204" s="135">
        <f t="shared" si="7"/>
        <v>35</v>
      </c>
      <c r="B204" s="116" t="s">
        <v>74</v>
      </c>
      <c r="C204" s="116" t="s">
        <v>89</v>
      </c>
      <c r="D204" s="145">
        <v>11</v>
      </c>
      <c r="E204" s="145"/>
      <c r="F204" s="118">
        <v>24</v>
      </c>
      <c r="G204" s="307">
        <f t="shared" si="15"/>
        <v>115.21100000000001</v>
      </c>
      <c r="H204" s="307">
        <v>87.98</v>
      </c>
      <c r="I204" s="307">
        <v>27.231000000000002</v>
      </c>
      <c r="J204" s="307">
        <f t="shared" si="16"/>
        <v>115.21100000000001</v>
      </c>
      <c r="K204" s="118">
        <v>87.98</v>
      </c>
      <c r="L204" s="118">
        <v>27.231000000000002</v>
      </c>
      <c r="M204" s="316">
        <v>115.20837999999998</v>
      </c>
      <c r="N204" s="307">
        <v>87.976409999999987</v>
      </c>
      <c r="O204" s="318">
        <v>27.231969999999997</v>
      </c>
      <c r="P204" s="319">
        <f t="shared" si="8"/>
        <v>4.800349166666666</v>
      </c>
    </row>
    <row r="205" spans="1:16" s="136" customFormat="1">
      <c r="A205" s="135">
        <f t="shared" si="7"/>
        <v>36</v>
      </c>
      <c r="B205" s="116" t="s">
        <v>74</v>
      </c>
      <c r="C205" s="116" t="s">
        <v>90</v>
      </c>
      <c r="D205" s="145">
        <v>6</v>
      </c>
      <c r="E205" s="145"/>
      <c r="F205" s="118">
        <f>[1]МКД!$H$250</f>
        <v>4</v>
      </c>
      <c r="G205" s="307">
        <f t="shared" si="15"/>
        <v>24.777000000000001</v>
      </c>
      <c r="H205" s="307">
        <v>24.407</v>
      </c>
      <c r="I205" s="307">
        <v>0.37</v>
      </c>
      <c r="J205" s="307">
        <f t="shared" si="16"/>
        <v>24.777000000000001</v>
      </c>
      <c r="K205" s="118">
        <v>24.407</v>
      </c>
      <c r="L205" s="118">
        <v>0.37</v>
      </c>
      <c r="M205" s="316">
        <v>24.777910000000002</v>
      </c>
      <c r="N205" s="307">
        <v>24.407610000000002</v>
      </c>
      <c r="O205" s="318">
        <v>0.37030000000000002</v>
      </c>
      <c r="P205" s="319">
        <f t="shared" si="8"/>
        <v>6.1944775000000005</v>
      </c>
    </row>
    <row r="206" spans="1:16" s="136" customFormat="1">
      <c r="A206" s="135">
        <f t="shared" si="7"/>
        <v>37</v>
      </c>
      <c r="B206" s="116" t="s">
        <v>74</v>
      </c>
      <c r="C206" s="119" t="s">
        <v>58</v>
      </c>
      <c r="D206" s="146">
        <v>4</v>
      </c>
      <c r="E206" s="146"/>
      <c r="F206" s="118">
        <v>140</v>
      </c>
      <c r="G206" s="307">
        <f t="shared" si="15"/>
        <v>1613.3229999999999</v>
      </c>
      <c r="H206" s="307">
        <v>731.89800000000002</v>
      </c>
      <c r="I206" s="307">
        <f>1126.385-244-0.96</f>
        <v>881.42499999999995</v>
      </c>
      <c r="J206" s="307">
        <f t="shared" ref="J206" si="17">K206+L206</f>
        <v>1613.328</v>
      </c>
      <c r="K206" s="118">
        <v>731.89800000000002</v>
      </c>
      <c r="L206" s="118">
        <v>881.43</v>
      </c>
      <c r="M206" s="316">
        <v>1598.7238299999999</v>
      </c>
      <c r="N206" s="307">
        <v>717.29383000000007</v>
      </c>
      <c r="O206" s="318">
        <v>881.43</v>
      </c>
      <c r="P206" s="319">
        <f t="shared" si="8"/>
        <v>11.419455928571429</v>
      </c>
    </row>
    <row r="207" spans="1:16" s="136" customFormat="1">
      <c r="A207" s="135">
        <f t="shared" si="7"/>
        <v>38</v>
      </c>
      <c r="B207" s="116" t="s">
        <v>74</v>
      </c>
      <c r="C207" s="119" t="s">
        <v>58</v>
      </c>
      <c r="D207" s="146">
        <v>10</v>
      </c>
      <c r="E207" s="146"/>
      <c r="F207" s="118">
        <v>91</v>
      </c>
      <c r="G207" s="307">
        <f>H207+I207</f>
        <v>341.49599999999998</v>
      </c>
      <c r="H207" s="307">
        <v>146.386</v>
      </c>
      <c r="I207" s="307">
        <v>195.11</v>
      </c>
      <c r="J207" s="307">
        <f t="shared" ref="J207:J212" si="18">K207+L207</f>
        <v>341.49599999999998</v>
      </c>
      <c r="K207" s="118">
        <v>146.386</v>
      </c>
      <c r="L207" s="118">
        <v>195.11</v>
      </c>
      <c r="M207" s="316">
        <v>340.05592999999999</v>
      </c>
      <c r="N207" s="307">
        <v>146.38665</v>
      </c>
      <c r="O207" s="318">
        <v>193.66927999999999</v>
      </c>
      <c r="P207" s="319">
        <f t="shared" si="8"/>
        <v>3.7368783516483517</v>
      </c>
    </row>
    <row r="208" spans="1:16" s="136" customFormat="1">
      <c r="A208" s="135">
        <f t="shared" si="7"/>
        <v>39</v>
      </c>
      <c r="B208" s="116" t="s">
        <v>74</v>
      </c>
      <c r="C208" s="138" t="s">
        <v>91</v>
      </c>
      <c r="D208" s="145">
        <v>6</v>
      </c>
      <c r="E208" s="145"/>
      <c r="F208" s="118">
        <f>[1]МКД!$H$251</f>
        <v>16</v>
      </c>
      <c r="G208" s="307">
        <f>H208+I208</f>
        <v>488.512</v>
      </c>
      <c r="H208" s="307">
        <v>161.77600000000001</v>
      </c>
      <c r="I208" s="307">
        <v>326.73599999999999</v>
      </c>
      <c r="J208" s="307">
        <f>K208+L208</f>
        <v>529.12200000000007</v>
      </c>
      <c r="K208" s="118">
        <v>172.08199999999999</v>
      </c>
      <c r="L208" s="118">
        <v>357.04</v>
      </c>
      <c r="M208" s="316">
        <v>442.52407999999991</v>
      </c>
      <c r="N208" s="307">
        <v>124.83689</v>
      </c>
      <c r="O208" s="318">
        <v>317.68718999999993</v>
      </c>
      <c r="P208" s="319">
        <f t="shared" si="8"/>
        <v>27.657754999999995</v>
      </c>
    </row>
    <row r="209" spans="1:31" s="136" customFormat="1">
      <c r="A209" s="135">
        <f t="shared" si="7"/>
        <v>40</v>
      </c>
      <c r="B209" s="116" t="s">
        <v>74</v>
      </c>
      <c r="C209" s="138" t="s">
        <v>91</v>
      </c>
      <c r="D209" s="145">
        <v>8</v>
      </c>
      <c r="E209" s="145"/>
      <c r="F209" s="118">
        <f>[1]МКД!$H$252</f>
        <v>12</v>
      </c>
      <c r="G209" s="307">
        <f>H209+I209</f>
        <v>189.18600000000001</v>
      </c>
      <c r="H209" s="307">
        <v>66.875</v>
      </c>
      <c r="I209" s="307">
        <v>122.31100000000001</v>
      </c>
      <c r="J209" s="307">
        <f>K209+L209</f>
        <v>193.238</v>
      </c>
      <c r="K209" s="118">
        <v>77.724000000000004</v>
      </c>
      <c r="L209" s="118">
        <v>115.514</v>
      </c>
      <c r="M209" s="316">
        <v>96.826809999999995</v>
      </c>
      <c r="N209" s="307">
        <v>42.955509999999997</v>
      </c>
      <c r="O209" s="318">
        <v>53.871299999999998</v>
      </c>
      <c r="P209" s="319">
        <f t="shared" si="8"/>
        <v>8.0689008333333323</v>
      </c>
    </row>
    <row r="210" spans="1:31" s="136" customFormat="1">
      <c r="A210" s="135">
        <f t="shared" si="7"/>
        <v>41</v>
      </c>
      <c r="B210" s="116" t="s">
        <v>74</v>
      </c>
      <c r="C210" s="138" t="s">
        <v>101</v>
      </c>
      <c r="D210" s="145">
        <v>11</v>
      </c>
      <c r="E210" s="145"/>
      <c r="F210" s="137">
        <v>60</v>
      </c>
      <c r="G210" s="307">
        <f t="shared" si="15"/>
        <v>77.471000000000004</v>
      </c>
      <c r="H210" s="307">
        <v>41.616</v>
      </c>
      <c r="I210" s="307">
        <v>35.854999999999997</v>
      </c>
      <c r="J210" s="307">
        <f t="shared" si="18"/>
        <v>77.471000000000004</v>
      </c>
      <c r="K210" s="118">
        <v>41.616</v>
      </c>
      <c r="L210" s="118">
        <v>35.854999999999997</v>
      </c>
      <c r="M210" s="316">
        <v>77.472520000000003</v>
      </c>
      <c r="N210" s="307">
        <v>41.616599999999998</v>
      </c>
      <c r="O210" s="318">
        <v>35.855919999999998</v>
      </c>
      <c r="P210" s="319">
        <f t="shared" si="8"/>
        <v>1.2912086666666667</v>
      </c>
    </row>
    <row r="211" spans="1:31" s="136" customFormat="1">
      <c r="A211" s="135">
        <f t="shared" si="7"/>
        <v>42</v>
      </c>
      <c r="B211" s="116" t="s">
        <v>74</v>
      </c>
      <c r="C211" s="116" t="s">
        <v>92</v>
      </c>
      <c r="D211" s="145">
        <v>1</v>
      </c>
      <c r="E211" s="145" t="s">
        <v>17</v>
      </c>
      <c r="F211" s="137">
        <v>21</v>
      </c>
      <c r="G211" s="307">
        <f t="shared" si="15"/>
        <v>12.423</v>
      </c>
      <c r="H211" s="307">
        <v>9.1950000000000003</v>
      </c>
      <c r="I211" s="307">
        <v>3.2280000000000002</v>
      </c>
      <c r="J211" s="307">
        <f t="shared" si="18"/>
        <v>12.423</v>
      </c>
      <c r="K211" s="118">
        <v>9.1950000000000003</v>
      </c>
      <c r="L211" s="118">
        <v>3.2280000000000002</v>
      </c>
      <c r="M211" s="316">
        <v>12.42365</v>
      </c>
      <c r="N211" s="307">
        <v>9.1954600000000006</v>
      </c>
      <c r="O211" s="318">
        <v>3.2281900000000001</v>
      </c>
      <c r="P211" s="319">
        <f t="shared" si="8"/>
        <v>0.59160238095238094</v>
      </c>
    </row>
    <row r="212" spans="1:31" s="136" customFormat="1">
      <c r="A212" s="135">
        <f t="shared" si="7"/>
        <v>43</v>
      </c>
      <c r="B212" s="116" t="s">
        <v>74</v>
      </c>
      <c r="C212" s="116" t="s">
        <v>92</v>
      </c>
      <c r="D212" s="145">
        <v>4</v>
      </c>
      <c r="E212" s="145"/>
      <c r="F212" s="137">
        <v>26</v>
      </c>
      <c r="G212" s="307">
        <f t="shared" si="15"/>
        <v>43.66</v>
      </c>
      <c r="H212" s="307">
        <v>11.266</v>
      </c>
      <c r="I212" s="307">
        <v>32.393999999999998</v>
      </c>
      <c r="J212" s="307">
        <f t="shared" si="18"/>
        <v>43.66</v>
      </c>
      <c r="K212" s="118">
        <v>11.266</v>
      </c>
      <c r="L212" s="118">
        <v>32.393999999999998</v>
      </c>
      <c r="M212" s="316">
        <v>43.660079999999994</v>
      </c>
      <c r="N212" s="307">
        <v>11.266059999999998</v>
      </c>
      <c r="O212" s="318">
        <v>32.394019999999998</v>
      </c>
      <c r="P212" s="319">
        <f t="shared" si="8"/>
        <v>1.6792338461538459</v>
      </c>
    </row>
    <row r="213" spans="1:31" s="136" customFormat="1">
      <c r="A213" s="135">
        <f t="shared" si="7"/>
        <v>44</v>
      </c>
      <c r="B213" s="116" t="s">
        <v>74</v>
      </c>
      <c r="C213" s="116" t="s">
        <v>92</v>
      </c>
      <c r="D213" s="145">
        <v>16</v>
      </c>
      <c r="E213" s="145"/>
      <c r="F213" s="137">
        <v>22</v>
      </c>
      <c r="G213" s="307">
        <f t="shared" si="15"/>
        <v>175.684</v>
      </c>
      <c r="H213" s="307">
        <v>73.162999999999997</v>
      </c>
      <c r="I213" s="307">
        <v>102.521</v>
      </c>
      <c r="J213" s="307">
        <f t="shared" ref="J213:J219" si="19">K213+L213</f>
        <v>175.68299999999999</v>
      </c>
      <c r="K213" s="118">
        <v>73.162999999999997</v>
      </c>
      <c r="L213" s="118">
        <v>102.52</v>
      </c>
      <c r="M213" s="316">
        <v>175.6832</v>
      </c>
      <c r="N213" s="307">
        <v>73.163200000000003</v>
      </c>
      <c r="O213" s="318">
        <v>102.52</v>
      </c>
      <c r="P213" s="319">
        <f t="shared" si="8"/>
        <v>7.9855999999999998</v>
      </c>
    </row>
    <row r="214" spans="1:31" s="136" customFormat="1">
      <c r="A214" s="135">
        <f t="shared" si="7"/>
        <v>45</v>
      </c>
      <c r="B214" s="116" t="s">
        <v>74</v>
      </c>
      <c r="C214" s="116" t="s">
        <v>92</v>
      </c>
      <c r="D214" s="145">
        <v>18</v>
      </c>
      <c r="E214" s="145"/>
      <c r="F214" s="124">
        <v>15</v>
      </c>
      <c r="G214" s="307">
        <f t="shared" si="15"/>
        <v>324.39929999999998</v>
      </c>
      <c r="H214" s="307">
        <v>147.14599999999999</v>
      </c>
      <c r="I214" s="307">
        <f>178.521-1.2677</f>
        <v>177.2533</v>
      </c>
      <c r="J214" s="307">
        <f t="shared" si="19"/>
        <v>324.39599999999996</v>
      </c>
      <c r="K214" s="118">
        <v>147.14599999999999</v>
      </c>
      <c r="L214" s="118">
        <v>177.25</v>
      </c>
      <c r="M214" s="316">
        <v>324.39621999999997</v>
      </c>
      <c r="N214" s="307">
        <v>147.14622</v>
      </c>
      <c r="O214" s="318">
        <v>177.25</v>
      </c>
      <c r="P214" s="319">
        <f t="shared" si="8"/>
        <v>21.626414666666665</v>
      </c>
    </row>
    <row r="215" spans="1:31" s="136" customFormat="1">
      <c r="A215" s="135">
        <f t="shared" si="7"/>
        <v>46</v>
      </c>
      <c r="B215" s="116" t="s">
        <v>74</v>
      </c>
      <c r="C215" s="116" t="s">
        <v>92</v>
      </c>
      <c r="D215" s="145">
        <v>22</v>
      </c>
      <c r="E215" s="145"/>
      <c r="F215" s="124">
        <v>17</v>
      </c>
      <c r="G215" s="307">
        <f t="shared" si="15"/>
        <v>2.3559999999999999</v>
      </c>
      <c r="H215" s="307">
        <v>0</v>
      </c>
      <c r="I215" s="307">
        <v>2.3559999999999999</v>
      </c>
      <c r="J215" s="307">
        <f t="shared" si="19"/>
        <v>2.3559999999999999</v>
      </c>
      <c r="K215" s="118">
        <v>0</v>
      </c>
      <c r="L215" s="118">
        <v>2.3559999999999999</v>
      </c>
      <c r="M215" s="316">
        <v>2.3561700000000001</v>
      </c>
      <c r="N215" s="307">
        <v>0</v>
      </c>
      <c r="O215" s="318">
        <v>2.3561700000000001</v>
      </c>
      <c r="P215" s="319">
        <f t="shared" si="8"/>
        <v>0.13859823529411766</v>
      </c>
    </row>
    <row r="216" spans="1:31" s="136" customFormat="1">
      <c r="A216" s="135">
        <f t="shared" si="7"/>
        <v>47</v>
      </c>
      <c r="B216" s="116" t="s">
        <v>74</v>
      </c>
      <c r="C216" s="116" t="s">
        <v>93</v>
      </c>
      <c r="D216" s="145">
        <v>22</v>
      </c>
      <c r="E216" s="145" t="s">
        <v>17</v>
      </c>
      <c r="F216" s="118">
        <v>14</v>
      </c>
      <c r="G216" s="307">
        <f t="shared" si="15"/>
        <v>96.384999999999991</v>
      </c>
      <c r="H216" s="307">
        <v>32.170999999999999</v>
      </c>
      <c r="I216" s="307">
        <v>64.213999999999999</v>
      </c>
      <c r="J216" s="307">
        <f t="shared" si="19"/>
        <v>96.381</v>
      </c>
      <c r="K216" s="118">
        <v>32.170999999999999</v>
      </c>
      <c r="L216" s="118">
        <v>64.209999999999994</v>
      </c>
      <c r="M216" s="316">
        <v>96.381429999999995</v>
      </c>
      <c r="N216" s="307">
        <v>32.171430000000001</v>
      </c>
      <c r="O216" s="318">
        <v>64.209999999999994</v>
      </c>
      <c r="P216" s="319">
        <f t="shared" si="8"/>
        <v>6.8843878571428565</v>
      </c>
    </row>
    <row r="217" spans="1:31" s="136" customFormat="1">
      <c r="A217" s="135">
        <f t="shared" si="7"/>
        <v>48</v>
      </c>
      <c r="B217" s="116" t="s">
        <v>74</v>
      </c>
      <c r="C217" s="116" t="s">
        <v>94</v>
      </c>
      <c r="D217" s="145">
        <v>16</v>
      </c>
      <c r="E217" s="145"/>
      <c r="F217" s="118">
        <v>12</v>
      </c>
      <c r="G217" s="307">
        <f t="shared" si="15"/>
        <v>25.007999999999999</v>
      </c>
      <c r="H217" s="307">
        <v>0</v>
      </c>
      <c r="I217" s="307">
        <v>25.007999999999999</v>
      </c>
      <c r="J217" s="307">
        <f t="shared" si="19"/>
        <v>25.007999999999999</v>
      </c>
      <c r="K217" s="118">
        <v>0</v>
      </c>
      <c r="L217" s="118">
        <v>25.007999999999999</v>
      </c>
      <c r="M217" s="316">
        <v>25.00807</v>
      </c>
      <c r="N217" s="307">
        <v>0</v>
      </c>
      <c r="O217" s="318">
        <v>25.00807</v>
      </c>
      <c r="P217" s="319">
        <f t="shared" si="8"/>
        <v>2.0840058333333333</v>
      </c>
    </row>
    <row r="218" spans="1:31" s="136" customFormat="1">
      <c r="A218" s="135">
        <f t="shared" si="7"/>
        <v>49</v>
      </c>
      <c r="B218" s="116" t="s">
        <v>74</v>
      </c>
      <c r="C218" s="116" t="s">
        <v>94</v>
      </c>
      <c r="D218" s="145">
        <v>18</v>
      </c>
      <c r="E218" s="145"/>
      <c r="F218" s="118">
        <v>12</v>
      </c>
      <c r="G218" s="307">
        <f t="shared" si="15"/>
        <v>5.8959999999999999</v>
      </c>
      <c r="H218" s="307">
        <v>1.944</v>
      </c>
      <c r="I218" s="307">
        <v>3.952</v>
      </c>
      <c r="J218" s="307">
        <f t="shared" si="19"/>
        <v>5.8959999999999999</v>
      </c>
      <c r="K218" s="118">
        <v>1.944</v>
      </c>
      <c r="L218" s="118">
        <v>3.952</v>
      </c>
      <c r="M218" s="316">
        <v>5.8974500000000001</v>
      </c>
      <c r="N218" s="307">
        <v>1.94451</v>
      </c>
      <c r="O218" s="318">
        <v>3.9529399999999999</v>
      </c>
      <c r="P218" s="319">
        <f t="shared" si="8"/>
        <v>0.49145416666666669</v>
      </c>
    </row>
    <row r="219" spans="1:31" s="136" customFormat="1">
      <c r="A219" s="135">
        <f t="shared" si="7"/>
        <v>50</v>
      </c>
      <c r="B219" s="116" t="s">
        <v>74</v>
      </c>
      <c r="C219" s="116" t="s">
        <v>95</v>
      </c>
      <c r="D219" s="145">
        <v>1</v>
      </c>
      <c r="E219" s="145"/>
      <c r="F219" s="118">
        <v>15</v>
      </c>
      <c r="G219" s="307">
        <f t="shared" si="15"/>
        <v>171.108</v>
      </c>
      <c r="H219" s="307">
        <v>171.108</v>
      </c>
      <c r="I219" s="307">
        <v>0</v>
      </c>
      <c r="J219" s="307">
        <f t="shared" si="19"/>
        <v>171.108</v>
      </c>
      <c r="K219" s="118">
        <v>171.108</v>
      </c>
      <c r="L219" s="118">
        <v>0</v>
      </c>
      <c r="M219" s="316">
        <v>2.7373400000000001</v>
      </c>
      <c r="N219" s="307">
        <v>2.7373400000000001</v>
      </c>
      <c r="O219" s="318">
        <v>0</v>
      </c>
      <c r="P219" s="319">
        <f>M219/F219</f>
        <v>0.18248933333333334</v>
      </c>
    </row>
    <row r="220" spans="1:31" s="42" customFormat="1">
      <c r="A220" s="41"/>
      <c r="B220" s="121" t="s">
        <v>8</v>
      </c>
      <c r="C220" s="41"/>
      <c r="D220" s="41"/>
      <c r="E220" s="41"/>
      <c r="F220" s="52">
        <f>SUM(F170:F219)</f>
        <v>1030</v>
      </c>
      <c r="G220" s="76">
        <f t="shared" ref="G220:O220" si="20">SUM(G170:G219)</f>
        <v>10103.960299999997</v>
      </c>
      <c r="H220" s="76">
        <f t="shared" si="20"/>
        <v>4541.0090000000009</v>
      </c>
      <c r="I220" s="76">
        <f t="shared" si="20"/>
        <v>5562.9512999999988</v>
      </c>
      <c r="J220" s="76">
        <f t="shared" si="20"/>
        <v>9980.7549999999974</v>
      </c>
      <c r="K220" s="76">
        <f t="shared" si="20"/>
        <v>4482.3050000000021</v>
      </c>
      <c r="L220" s="76">
        <f t="shared" si="20"/>
        <v>5498.45</v>
      </c>
      <c r="M220" s="76">
        <f t="shared" si="20"/>
        <v>9330.5629099999969</v>
      </c>
      <c r="N220" s="76">
        <f t="shared" si="20"/>
        <v>4029.959859999999</v>
      </c>
      <c r="O220" s="76">
        <f t="shared" si="20"/>
        <v>5300.6030499999988</v>
      </c>
      <c r="P220" s="108"/>
    </row>
    <row r="222" spans="1:31" s="253" customFormat="1" ht="12.75">
      <c r="B222" s="254" t="s">
        <v>137</v>
      </c>
    </row>
    <row r="223" spans="1:31" s="253" customFormat="1" ht="44.25" customHeight="1">
      <c r="B223" s="175" t="s">
        <v>144</v>
      </c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</row>
  </sheetData>
  <sortState ref="C7:P167">
    <sortCondition descending="1" ref="P7:P167"/>
  </sortState>
  <mergeCells count="21">
    <mergeCell ref="B223:M223"/>
    <mergeCell ref="C2:F2"/>
    <mergeCell ref="A4:A6"/>
    <mergeCell ref="B4:B6"/>
    <mergeCell ref="C4:E4"/>
    <mergeCell ref="F4:F6"/>
    <mergeCell ref="C1:O1"/>
    <mergeCell ref="A169:F169"/>
    <mergeCell ref="C5:C6"/>
    <mergeCell ref="D5:D6"/>
    <mergeCell ref="E5:E6"/>
    <mergeCell ref="J4:L4"/>
    <mergeCell ref="J5:J6"/>
    <mergeCell ref="G4:I4"/>
    <mergeCell ref="P4:P6"/>
    <mergeCell ref="G5:G6"/>
    <mergeCell ref="H5:I5"/>
    <mergeCell ref="K5:L5"/>
    <mergeCell ref="M4:O4"/>
    <mergeCell ref="M5:M6"/>
    <mergeCell ref="N5:O5"/>
  </mergeCells>
  <pageMargins left="0.15748031496062992" right="0.15748031496062992" top="0.74803149606299213" bottom="0.74803149606299213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P35" sqref="P35"/>
    </sheetView>
  </sheetViews>
  <sheetFormatPr defaultRowHeight="15"/>
  <cols>
    <col min="1" max="1" width="5" customWidth="1"/>
    <col min="2" max="2" width="28.5703125" bestFit="1" customWidth="1"/>
    <col min="3" max="3" width="20.85546875" bestFit="1" customWidth="1"/>
    <col min="5" max="6" width="8.7109375" customWidth="1"/>
    <col min="7" max="16" width="12.85546875" customWidth="1"/>
  </cols>
  <sheetData>
    <row r="1" spans="1:16">
      <c r="C1" s="173" t="s">
        <v>10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 ht="8.25" customHeight="1">
      <c r="C2" s="47"/>
      <c r="D2" s="176"/>
      <c r="E2" s="176"/>
      <c r="F2" s="176"/>
    </row>
    <row r="3" spans="1:16">
      <c r="G3" s="50"/>
      <c r="H3" s="50"/>
      <c r="I3" s="50"/>
      <c r="J3" s="50"/>
      <c r="K3" s="50"/>
      <c r="L3" s="50"/>
      <c r="M3" s="50"/>
      <c r="N3" s="50"/>
      <c r="O3" s="50"/>
      <c r="P3" s="50" t="s">
        <v>9</v>
      </c>
    </row>
    <row r="4" spans="1:16" ht="29.25" customHeight="1">
      <c r="A4" s="166" t="s">
        <v>0</v>
      </c>
      <c r="B4" s="166" t="s">
        <v>12</v>
      </c>
      <c r="C4" s="166" t="s">
        <v>1</v>
      </c>
      <c r="D4" s="166"/>
      <c r="E4" s="166"/>
      <c r="F4" s="184" t="s">
        <v>76</v>
      </c>
      <c r="G4" s="213" t="s">
        <v>132</v>
      </c>
      <c r="H4" s="213"/>
      <c r="I4" s="213"/>
      <c r="J4" s="213" t="s">
        <v>133</v>
      </c>
      <c r="K4" s="213"/>
      <c r="L4" s="213"/>
      <c r="M4" s="213" t="s">
        <v>134</v>
      </c>
      <c r="N4" s="213"/>
      <c r="O4" s="213"/>
      <c r="P4" s="161" t="s">
        <v>104</v>
      </c>
    </row>
    <row r="5" spans="1:16" ht="13.5" customHeight="1">
      <c r="A5" s="166"/>
      <c r="B5" s="166"/>
      <c r="C5" s="166" t="s">
        <v>2</v>
      </c>
      <c r="D5" s="166" t="s">
        <v>3</v>
      </c>
      <c r="E5" s="166" t="s">
        <v>4</v>
      </c>
      <c r="F5" s="185"/>
      <c r="G5" s="169" t="s">
        <v>5</v>
      </c>
      <c r="H5" s="171" t="s">
        <v>11</v>
      </c>
      <c r="I5" s="172"/>
      <c r="J5" s="169" t="s">
        <v>5</v>
      </c>
      <c r="K5" s="171" t="s">
        <v>11</v>
      </c>
      <c r="L5" s="172"/>
      <c r="M5" s="169" t="s">
        <v>5</v>
      </c>
      <c r="N5" s="171" t="s">
        <v>11</v>
      </c>
      <c r="O5" s="172"/>
      <c r="P5" s="162"/>
    </row>
    <row r="6" spans="1:16" ht="38.25">
      <c r="A6" s="166"/>
      <c r="B6" s="166"/>
      <c r="C6" s="166"/>
      <c r="D6" s="166"/>
      <c r="E6" s="166"/>
      <c r="F6" s="186"/>
      <c r="G6" s="169"/>
      <c r="H6" s="14" t="s">
        <v>6</v>
      </c>
      <c r="I6" s="14" t="s">
        <v>7</v>
      </c>
      <c r="J6" s="169"/>
      <c r="K6" s="14" t="s">
        <v>6</v>
      </c>
      <c r="L6" s="14" t="s">
        <v>7</v>
      </c>
      <c r="M6" s="169"/>
      <c r="N6" s="14" t="s">
        <v>6</v>
      </c>
      <c r="O6" s="14" t="s">
        <v>7</v>
      </c>
      <c r="P6" s="163"/>
    </row>
    <row r="7" spans="1:16" ht="15" customHeight="1">
      <c r="A7" s="1">
        <v>1</v>
      </c>
      <c r="B7" s="1" t="s">
        <v>96</v>
      </c>
      <c r="C7" s="252" t="s">
        <v>86</v>
      </c>
      <c r="D7" s="252">
        <v>39</v>
      </c>
      <c r="E7" s="256"/>
      <c r="F7" s="226">
        <f>[1]МКД!$H$119</f>
        <v>18</v>
      </c>
      <c r="G7" s="4">
        <v>140.59700000000001</v>
      </c>
      <c r="H7" s="4">
        <v>36.543999999999997</v>
      </c>
      <c r="I7" s="4">
        <v>104.05300000000001</v>
      </c>
      <c r="J7" s="4">
        <v>140.59700000000001</v>
      </c>
      <c r="K7" s="4">
        <v>36.543999999999997</v>
      </c>
      <c r="L7" s="4">
        <v>104.05300000000001</v>
      </c>
      <c r="M7" s="4">
        <v>140.59700000000001</v>
      </c>
      <c r="N7" s="4">
        <v>36.543999999999997</v>
      </c>
      <c r="O7" s="4">
        <v>104.05300000000001</v>
      </c>
      <c r="P7" s="328">
        <f>M7/F7</f>
        <v>7.8109444444444449</v>
      </c>
    </row>
    <row r="8" spans="1:16">
      <c r="A8" s="1">
        <f>A7+1</f>
        <v>2</v>
      </c>
      <c r="B8" s="1" t="s">
        <v>96</v>
      </c>
      <c r="C8" s="1" t="s">
        <v>86</v>
      </c>
      <c r="D8" s="1">
        <v>37</v>
      </c>
      <c r="E8" s="44"/>
      <c r="F8" s="37">
        <f>[1]МКД!$H$117</f>
        <v>15</v>
      </c>
      <c r="G8" s="4">
        <v>116.94200000000001</v>
      </c>
      <c r="H8" s="4">
        <v>46.734000000000002</v>
      </c>
      <c r="I8" s="4">
        <v>70.207999999999998</v>
      </c>
      <c r="J8" s="4">
        <v>116.94200000000001</v>
      </c>
      <c r="K8" s="4">
        <v>46.734000000000002</v>
      </c>
      <c r="L8" s="4">
        <v>70.207999999999998</v>
      </c>
      <c r="M8" s="4">
        <v>116.94200000000001</v>
      </c>
      <c r="N8" s="4">
        <v>46.734000000000002</v>
      </c>
      <c r="O8" s="4">
        <v>70.207999999999998</v>
      </c>
      <c r="P8" s="58">
        <f>M8/F8</f>
        <v>7.7961333333333336</v>
      </c>
    </row>
    <row r="9" spans="1:16">
      <c r="A9" s="1">
        <f t="shared" ref="A9:A31" si="0">A8+1</f>
        <v>3</v>
      </c>
      <c r="B9" s="1" t="s">
        <v>96</v>
      </c>
      <c r="C9" s="252" t="s">
        <v>19</v>
      </c>
      <c r="D9" s="252">
        <v>12</v>
      </c>
      <c r="E9" s="256"/>
      <c r="F9" s="226">
        <f>[1]МКД!$H$352</f>
        <v>96</v>
      </c>
      <c r="G9" s="4">
        <v>670.678</v>
      </c>
      <c r="H9" s="4">
        <v>251.977</v>
      </c>
      <c r="I9" s="4">
        <v>418.70100000000002</v>
      </c>
      <c r="J9" s="4">
        <v>670.678</v>
      </c>
      <c r="K9" s="4">
        <v>251.977</v>
      </c>
      <c r="L9" s="4">
        <v>418.70100000000002</v>
      </c>
      <c r="M9" s="228">
        <v>670.678</v>
      </c>
      <c r="N9" s="228">
        <v>251.977</v>
      </c>
      <c r="O9" s="228">
        <v>418.70100000000002</v>
      </c>
      <c r="P9" s="58">
        <f>M9/F9</f>
        <v>6.9862291666666669</v>
      </c>
    </row>
    <row r="10" spans="1:16">
      <c r="A10" s="1">
        <f t="shared" si="0"/>
        <v>4</v>
      </c>
      <c r="B10" s="1" t="s">
        <v>96</v>
      </c>
      <c r="C10" s="1" t="s">
        <v>19</v>
      </c>
      <c r="D10" s="1">
        <v>10</v>
      </c>
      <c r="E10" s="44"/>
      <c r="F10" s="37">
        <f>[1]МКД!$H$32</f>
        <v>72</v>
      </c>
      <c r="G10" s="4">
        <v>408.31799999999998</v>
      </c>
      <c r="H10" s="4">
        <v>180.43</v>
      </c>
      <c r="I10" s="4">
        <v>227.88799999999998</v>
      </c>
      <c r="J10" s="4">
        <v>408.31799999999998</v>
      </c>
      <c r="K10" s="4">
        <v>180.43</v>
      </c>
      <c r="L10" s="4">
        <v>227.88799999999998</v>
      </c>
      <c r="M10" s="4">
        <v>408.31799999999998</v>
      </c>
      <c r="N10" s="4">
        <v>180.43</v>
      </c>
      <c r="O10" s="4">
        <v>227.88799999999998</v>
      </c>
      <c r="P10" s="58">
        <f>M10/F10</f>
        <v>5.6710833333333328</v>
      </c>
    </row>
    <row r="11" spans="1:16">
      <c r="A11" s="1">
        <f t="shared" si="0"/>
        <v>5</v>
      </c>
      <c r="B11" s="1" t="s">
        <v>96</v>
      </c>
      <c r="C11" s="56" t="s">
        <v>70</v>
      </c>
      <c r="D11" s="56">
        <v>3</v>
      </c>
      <c r="E11" s="148"/>
      <c r="F11" s="37">
        <f>[1]МКД!$H$76</f>
        <v>72</v>
      </c>
      <c r="G11" s="4">
        <v>312.70999999999998</v>
      </c>
      <c r="H11" s="4">
        <v>107.968</v>
      </c>
      <c r="I11" s="4">
        <v>204.74199999999996</v>
      </c>
      <c r="J11" s="4">
        <v>312.70999999999998</v>
      </c>
      <c r="K11" s="4">
        <v>107.968</v>
      </c>
      <c r="L11" s="4">
        <v>204.74199999999996</v>
      </c>
      <c r="M11" s="4">
        <v>312.70999999999998</v>
      </c>
      <c r="N11" s="4">
        <v>107.968</v>
      </c>
      <c r="O11" s="4">
        <v>204.74199999999996</v>
      </c>
      <c r="P11" s="58">
        <f>M11/F11</f>
        <v>4.3431944444444444</v>
      </c>
    </row>
    <row r="12" spans="1:16">
      <c r="A12" s="1">
        <f t="shared" si="0"/>
        <v>6</v>
      </c>
      <c r="B12" s="1" t="s">
        <v>96</v>
      </c>
      <c r="C12" s="1" t="s">
        <v>86</v>
      </c>
      <c r="D12" s="1">
        <v>41</v>
      </c>
      <c r="E12" s="44"/>
      <c r="F12" s="37">
        <f>[1]МКД!$H$120</f>
        <v>18</v>
      </c>
      <c r="G12" s="4">
        <v>59.552</v>
      </c>
      <c r="H12" s="4">
        <v>15.63</v>
      </c>
      <c r="I12" s="4">
        <v>43.921999999999997</v>
      </c>
      <c r="J12" s="4">
        <v>59.552</v>
      </c>
      <c r="K12" s="4">
        <v>15.63</v>
      </c>
      <c r="L12" s="4">
        <v>43.921999999999997</v>
      </c>
      <c r="M12" s="4">
        <v>59.552</v>
      </c>
      <c r="N12" s="4">
        <v>15.63</v>
      </c>
      <c r="O12" s="4">
        <v>43.921999999999997</v>
      </c>
      <c r="P12" s="58">
        <f>M12/F12</f>
        <v>3.3084444444444445</v>
      </c>
    </row>
    <row r="13" spans="1:16" ht="15" customHeight="1">
      <c r="A13" s="1">
        <f t="shared" si="0"/>
        <v>7</v>
      </c>
      <c r="B13" s="1" t="s">
        <v>96</v>
      </c>
      <c r="C13" s="1" t="s">
        <v>28</v>
      </c>
      <c r="D13" s="1">
        <v>10</v>
      </c>
      <c r="E13" s="1"/>
      <c r="F13" s="37">
        <f>[1]МКД!$H$13</f>
        <v>13</v>
      </c>
      <c r="G13" s="4">
        <v>36.846000000000004</v>
      </c>
      <c r="H13" s="4">
        <v>9.4209999999999994</v>
      </c>
      <c r="I13" s="4">
        <v>27.425000000000001</v>
      </c>
      <c r="J13" s="4">
        <v>36.846000000000004</v>
      </c>
      <c r="K13" s="4">
        <v>9.4209999999999994</v>
      </c>
      <c r="L13" s="4">
        <v>27.425000000000001</v>
      </c>
      <c r="M13" s="4">
        <v>36.846000000000004</v>
      </c>
      <c r="N13" s="4">
        <v>9.4209999999999994</v>
      </c>
      <c r="O13" s="4">
        <v>27.425000000000001</v>
      </c>
      <c r="P13" s="58">
        <f>M13/F13</f>
        <v>2.8343076923076924</v>
      </c>
    </row>
    <row r="14" spans="1:16">
      <c r="A14" s="1">
        <f t="shared" si="0"/>
        <v>8</v>
      </c>
      <c r="B14" s="1" t="s">
        <v>96</v>
      </c>
      <c r="C14" s="1" t="s">
        <v>28</v>
      </c>
      <c r="D14" s="1">
        <v>8</v>
      </c>
      <c r="E14" s="1"/>
      <c r="F14" s="37">
        <f>[1]МКД!$H$12</f>
        <v>12</v>
      </c>
      <c r="G14" s="4">
        <v>27.616</v>
      </c>
      <c r="H14" s="4">
        <v>8.1300000000000008</v>
      </c>
      <c r="I14" s="4">
        <v>19.486000000000001</v>
      </c>
      <c r="J14" s="4">
        <v>27.616</v>
      </c>
      <c r="K14" s="4">
        <v>8.1300000000000008</v>
      </c>
      <c r="L14" s="4">
        <v>19.486000000000001</v>
      </c>
      <c r="M14" s="4">
        <v>27.616</v>
      </c>
      <c r="N14" s="4">
        <v>8.1300000000000008</v>
      </c>
      <c r="O14" s="4">
        <v>19.486000000000001</v>
      </c>
      <c r="P14" s="58">
        <f>M14/F14</f>
        <v>2.3013333333333335</v>
      </c>
    </row>
    <row r="15" spans="1:16">
      <c r="A15" s="1">
        <f t="shared" si="0"/>
        <v>9</v>
      </c>
      <c r="B15" s="1" t="s">
        <v>96</v>
      </c>
      <c r="C15" s="1" t="s">
        <v>16</v>
      </c>
      <c r="D15" s="1">
        <v>20</v>
      </c>
      <c r="E15" s="1"/>
      <c r="F15" s="111">
        <f>[1]МКД!$H$168</f>
        <v>19</v>
      </c>
      <c r="G15" s="4">
        <v>39.840000000000003</v>
      </c>
      <c r="H15" s="4">
        <v>19.716000000000001</v>
      </c>
      <c r="I15" s="4">
        <v>20.124000000000002</v>
      </c>
      <c r="J15" s="4">
        <v>39.840000000000003</v>
      </c>
      <c r="K15" s="4">
        <v>19.716000000000001</v>
      </c>
      <c r="L15" s="4">
        <v>20.124000000000002</v>
      </c>
      <c r="M15" s="4">
        <v>39.840000000000003</v>
      </c>
      <c r="N15" s="4">
        <v>19.716000000000001</v>
      </c>
      <c r="O15" s="4">
        <v>20.124000000000002</v>
      </c>
      <c r="P15" s="58">
        <f>M15/F15</f>
        <v>2.0968421052631583</v>
      </c>
    </row>
    <row r="16" spans="1:16">
      <c r="A16" s="1">
        <f t="shared" si="0"/>
        <v>10</v>
      </c>
      <c r="B16" s="1" t="s">
        <v>96</v>
      </c>
      <c r="C16" s="1" t="s">
        <v>86</v>
      </c>
      <c r="D16" s="1">
        <v>33</v>
      </c>
      <c r="E16" s="44"/>
      <c r="F16" s="37">
        <f>[1]МКД!$H$115</f>
        <v>18</v>
      </c>
      <c r="G16" s="4">
        <v>35.798000000000002</v>
      </c>
      <c r="H16" s="4">
        <v>16.93</v>
      </c>
      <c r="I16" s="4">
        <v>18.868000000000002</v>
      </c>
      <c r="J16" s="4">
        <v>35.798000000000002</v>
      </c>
      <c r="K16" s="4">
        <v>16.93</v>
      </c>
      <c r="L16" s="4">
        <v>18.868000000000002</v>
      </c>
      <c r="M16" s="4">
        <v>35.798000000000002</v>
      </c>
      <c r="N16" s="4">
        <v>16.93</v>
      </c>
      <c r="O16" s="4">
        <v>18.868000000000002</v>
      </c>
      <c r="P16" s="58">
        <f>M16/F16</f>
        <v>1.988777777777778</v>
      </c>
    </row>
    <row r="17" spans="1:16">
      <c r="A17" s="1">
        <f t="shared" si="0"/>
        <v>11</v>
      </c>
      <c r="B17" s="1" t="s">
        <v>96</v>
      </c>
      <c r="C17" s="1" t="s">
        <v>86</v>
      </c>
      <c r="D17" s="1">
        <v>43</v>
      </c>
      <c r="E17" s="44"/>
      <c r="F17" s="37">
        <f>[1]МКД!$H$121</f>
        <v>35</v>
      </c>
      <c r="G17" s="4">
        <v>67.998000000000005</v>
      </c>
      <c r="H17" s="4">
        <v>19.693999999999999</v>
      </c>
      <c r="I17" s="4">
        <v>48.304000000000002</v>
      </c>
      <c r="J17" s="4">
        <v>67.998000000000005</v>
      </c>
      <c r="K17" s="4">
        <v>19.693999999999999</v>
      </c>
      <c r="L17" s="4">
        <v>48.304000000000002</v>
      </c>
      <c r="M17" s="4">
        <v>67.998000000000005</v>
      </c>
      <c r="N17" s="4">
        <v>19.693999999999999</v>
      </c>
      <c r="O17" s="4">
        <v>48.304000000000002</v>
      </c>
      <c r="P17" s="58">
        <f>M17/F17</f>
        <v>1.9428000000000001</v>
      </c>
    </row>
    <row r="18" spans="1:16" s="57" customFormat="1">
      <c r="A18" s="1">
        <f t="shared" si="0"/>
        <v>12</v>
      </c>
      <c r="B18" s="56" t="s">
        <v>96</v>
      </c>
      <c r="C18" s="1" t="s">
        <v>16</v>
      </c>
      <c r="D18" s="1">
        <v>33</v>
      </c>
      <c r="E18" s="44"/>
      <c r="F18" s="37">
        <f>[1]МКД!$H$170</f>
        <v>60</v>
      </c>
      <c r="G18" s="4">
        <v>113.58199999999999</v>
      </c>
      <c r="H18" s="4">
        <v>37.533000000000001</v>
      </c>
      <c r="I18" s="4">
        <v>76.048999999999992</v>
      </c>
      <c r="J18" s="4">
        <v>113.58199999999999</v>
      </c>
      <c r="K18" s="4">
        <v>37.533000000000001</v>
      </c>
      <c r="L18" s="4">
        <v>76.048999999999992</v>
      </c>
      <c r="M18" s="4">
        <v>113.58199999999999</v>
      </c>
      <c r="N18" s="4">
        <v>37.533000000000001</v>
      </c>
      <c r="O18" s="4">
        <v>76.048999999999992</v>
      </c>
      <c r="P18" s="58">
        <f>M18/F18</f>
        <v>1.8930333333333331</v>
      </c>
    </row>
    <row r="19" spans="1:16" ht="15" customHeight="1">
      <c r="A19" s="1">
        <f t="shared" si="0"/>
        <v>13</v>
      </c>
      <c r="B19" s="1" t="s">
        <v>96</v>
      </c>
      <c r="C19" s="1" t="s">
        <v>86</v>
      </c>
      <c r="D19" s="1">
        <v>31</v>
      </c>
      <c r="E19" s="44"/>
      <c r="F19" s="37">
        <f>[1]МКД!$H$114</f>
        <v>18</v>
      </c>
      <c r="G19" s="4">
        <v>24.494999999999997</v>
      </c>
      <c r="H19" s="4">
        <v>11.452999999999999</v>
      </c>
      <c r="I19" s="4">
        <v>13.042</v>
      </c>
      <c r="J19" s="4">
        <v>24.494999999999997</v>
      </c>
      <c r="K19" s="4">
        <v>11.452999999999999</v>
      </c>
      <c r="L19" s="4">
        <v>13.042</v>
      </c>
      <c r="M19" s="4">
        <v>24.494999999999997</v>
      </c>
      <c r="N19" s="4">
        <v>11.452999999999999</v>
      </c>
      <c r="O19" s="4">
        <v>13.042</v>
      </c>
      <c r="P19" s="58">
        <f>M19/F19</f>
        <v>1.3608333333333331</v>
      </c>
    </row>
    <row r="20" spans="1:16">
      <c r="A20" s="1">
        <f t="shared" si="0"/>
        <v>14</v>
      </c>
      <c r="B20" s="1" t="s">
        <v>96</v>
      </c>
      <c r="C20" s="1" t="s">
        <v>28</v>
      </c>
      <c r="D20" s="1">
        <v>6</v>
      </c>
      <c r="E20" s="1"/>
      <c r="F20" s="37">
        <f>[1]МКД!$H$10</f>
        <v>12</v>
      </c>
      <c r="G20" s="4">
        <v>15.25</v>
      </c>
      <c r="H20" s="4">
        <v>7.7990000000000004</v>
      </c>
      <c r="I20" s="4">
        <v>7.4509999999999996</v>
      </c>
      <c r="J20" s="4">
        <v>15.25</v>
      </c>
      <c r="K20" s="4">
        <v>7.7990000000000004</v>
      </c>
      <c r="L20" s="4">
        <v>7.4509999999999996</v>
      </c>
      <c r="M20" s="4">
        <v>15.25</v>
      </c>
      <c r="N20" s="4">
        <v>7.7990000000000004</v>
      </c>
      <c r="O20" s="4">
        <v>7.4509999999999996</v>
      </c>
      <c r="P20" s="58">
        <f>M20/F20</f>
        <v>1.2708333333333333</v>
      </c>
    </row>
    <row r="21" spans="1:16">
      <c r="A21" s="1">
        <f t="shared" si="0"/>
        <v>15</v>
      </c>
      <c r="B21" s="1" t="s">
        <v>96</v>
      </c>
      <c r="C21" s="1" t="s">
        <v>16</v>
      </c>
      <c r="D21" s="1">
        <v>31</v>
      </c>
      <c r="E21" s="44" t="s">
        <v>97</v>
      </c>
      <c r="F21" s="37">
        <f>[1]МКД!$H$169</f>
        <v>60</v>
      </c>
      <c r="G21" s="4">
        <v>68.58</v>
      </c>
      <c r="H21" s="4">
        <v>32.6</v>
      </c>
      <c r="I21" s="4">
        <v>35.979999999999997</v>
      </c>
      <c r="J21" s="4">
        <v>68.58</v>
      </c>
      <c r="K21" s="4">
        <v>32.6</v>
      </c>
      <c r="L21" s="4">
        <v>35.979999999999997</v>
      </c>
      <c r="M21" s="4">
        <v>68.58</v>
      </c>
      <c r="N21" s="4">
        <v>32.6</v>
      </c>
      <c r="O21" s="4">
        <v>35.979999999999997</v>
      </c>
      <c r="P21" s="58">
        <f>M21/F21</f>
        <v>1.143</v>
      </c>
    </row>
    <row r="22" spans="1:16">
      <c r="A22" s="1">
        <f t="shared" si="0"/>
        <v>16</v>
      </c>
      <c r="B22" s="1" t="s">
        <v>96</v>
      </c>
      <c r="C22" s="1" t="s">
        <v>86</v>
      </c>
      <c r="D22" s="1">
        <v>29</v>
      </c>
      <c r="E22" s="44"/>
      <c r="F22" s="37">
        <f>[1]МКД!$H$113</f>
        <v>18</v>
      </c>
      <c r="G22" s="4">
        <v>17.093</v>
      </c>
      <c r="H22" s="4">
        <v>14.663</v>
      </c>
      <c r="I22" s="4">
        <v>2.4300000000000002</v>
      </c>
      <c r="J22" s="4">
        <v>17.093</v>
      </c>
      <c r="K22" s="4">
        <v>14.663</v>
      </c>
      <c r="L22" s="4">
        <v>2.4300000000000002</v>
      </c>
      <c r="M22" s="4">
        <v>17.093</v>
      </c>
      <c r="N22" s="4">
        <v>14.663</v>
      </c>
      <c r="O22" s="4">
        <v>2.4300000000000002</v>
      </c>
      <c r="P22" s="58">
        <f>M22/F22</f>
        <v>0.94961111111111107</v>
      </c>
    </row>
    <row r="23" spans="1:16">
      <c r="A23" s="1">
        <f t="shared" si="0"/>
        <v>17</v>
      </c>
      <c r="B23" s="1" t="s">
        <v>96</v>
      </c>
      <c r="C23" s="1" t="s">
        <v>28</v>
      </c>
      <c r="D23" s="1">
        <v>16</v>
      </c>
      <c r="E23" s="1"/>
      <c r="F23" s="37">
        <f>[1]МКД!$H$16</f>
        <v>16</v>
      </c>
      <c r="G23" s="4">
        <v>13.612</v>
      </c>
      <c r="H23" s="4">
        <v>6.8010000000000002</v>
      </c>
      <c r="I23" s="4">
        <v>6.8109999999999999</v>
      </c>
      <c r="J23" s="4">
        <v>13.612</v>
      </c>
      <c r="K23" s="4">
        <v>6.8010000000000002</v>
      </c>
      <c r="L23" s="4">
        <v>6.8109999999999999</v>
      </c>
      <c r="M23" s="4">
        <v>13.612</v>
      </c>
      <c r="N23" s="4">
        <v>6.8010000000000002</v>
      </c>
      <c r="O23" s="4">
        <v>6.8109999999999999</v>
      </c>
      <c r="P23" s="58">
        <f>M23/F23</f>
        <v>0.85075000000000001</v>
      </c>
    </row>
    <row r="24" spans="1:16">
      <c r="A24" s="1">
        <f t="shared" si="0"/>
        <v>18</v>
      </c>
      <c r="B24" s="1" t="s">
        <v>96</v>
      </c>
      <c r="C24" s="1" t="s">
        <v>16</v>
      </c>
      <c r="D24" s="1">
        <v>41</v>
      </c>
      <c r="E24" s="44" t="s">
        <v>97</v>
      </c>
      <c r="F24" s="37">
        <f>[1]МКД!$H$173</f>
        <v>46</v>
      </c>
      <c r="G24" s="4">
        <v>36.764000000000003</v>
      </c>
      <c r="H24" s="4">
        <v>16.289000000000001</v>
      </c>
      <c r="I24" s="4">
        <v>20.475000000000001</v>
      </c>
      <c r="J24" s="4">
        <v>36.764000000000003</v>
      </c>
      <c r="K24" s="4">
        <v>16.289000000000001</v>
      </c>
      <c r="L24" s="4">
        <v>20.475000000000001</v>
      </c>
      <c r="M24" s="4">
        <v>36.764000000000003</v>
      </c>
      <c r="N24" s="4">
        <v>16.289000000000001</v>
      </c>
      <c r="O24" s="4">
        <v>20.475000000000001</v>
      </c>
      <c r="P24" s="58">
        <f>M24/F24</f>
        <v>0.79921739130434788</v>
      </c>
    </row>
    <row r="25" spans="1:16">
      <c r="A25" s="1">
        <f t="shared" si="0"/>
        <v>19</v>
      </c>
      <c r="B25" s="1" t="s">
        <v>96</v>
      </c>
      <c r="C25" s="1" t="s">
        <v>72</v>
      </c>
      <c r="D25" s="1">
        <v>3</v>
      </c>
      <c r="E25" s="44" t="s">
        <v>98</v>
      </c>
      <c r="F25" s="46">
        <f>[2]МКД!$H$123</f>
        <v>126</v>
      </c>
      <c r="G25" s="4">
        <v>64.295000000000002</v>
      </c>
      <c r="H25" s="4">
        <v>74.638000000000005</v>
      </c>
      <c r="I25" s="4">
        <v>-10.343000000000004</v>
      </c>
      <c r="J25" s="4">
        <v>64.295000000000002</v>
      </c>
      <c r="K25" s="4">
        <v>74.638000000000005</v>
      </c>
      <c r="L25" s="4">
        <v>-10.343000000000004</v>
      </c>
      <c r="M25" s="4">
        <v>64.295000000000002</v>
      </c>
      <c r="N25" s="4">
        <v>74.638000000000005</v>
      </c>
      <c r="O25" s="4">
        <v>-10.343000000000004</v>
      </c>
      <c r="P25" s="58">
        <f>M25/F25</f>
        <v>0.51027777777777783</v>
      </c>
    </row>
    <row r="26" spans="1:16">
      <c r="A26" s="1">
        <f t="shared" si="0"/>
        <v>20</v>
      </c>
      <c r="B26" s="1" t="s">
        <v>96</v>
      </c>
      <c r="C26" s="1" t="s">
        <v>19</v>
      </c>
      <c r="D26" s="1">
        <v>33</v>
      </c>
      <c r="E26" s="44"/>
      <c r="F26" s="37">
        <f>[1]МКД!$H$353</f>
        <v>60</v>
      </c>
      <c r="G26" s="4">
        <v>10.362</v>
      </c>
      <c r="H26" s="4">
        <v>10.304</v>
      </c>
      <c r="I26" s="4">
        <v>5.8000000000000003E-2</v>
      </c>
      <c r="J26" s="4">
        <v>10.362</v>
      </c>
      <c r="K26" s="4">
        <v>10.304</v>
      </c>
      <c r="L26" s="4">
        <v>5.8000000000000003E-2</v>
      </c>
      <c r="M26" s="4">
        <v>10.362</v>
      </c>
      <c r="N26" s="4">
        <v>10.304</v>
      </c>
      <c r="O26" s="4">
        <v>5.8000000000000003E-2</v>
      </c>
      <c r="P26" s="58">
        <f>M26/F26</f>
        <v>0.17269999999999999</v>
      </c>
    </row>
    <row r="27" spans="1:16">
      <c r="A27" s="1">
        <f t="shared" si="0"/>
        <v>21</v>
      </c>
      <c r="B27" s="1" t="s">
        <v>96</v>
      </c>
      <c r="C27" s="1" t="s">
        <v>16</v>
      </c>
      <c r="D27" s="1">
        <v>5</v>
      </c>
      <c r="E27" s="1"/>
      <c r="F27" s="37">
        <f>[1]МКД!$H$167</f>
        <v>58</v>
      </c>
      <c r="G27" s="4">
        <v>8.5090000000000003</v>
      </c>
      <c r="H27" s="4">
        <v>6.0739999999999998</v>
      </c>
      <c r="I27" s="4">
        <v>2.4350000000000001</v>
      </c>
      <c r="J27" s="4">
        <v>8.5090000000000003</v>
      </c>
      <c r="K27" s="4">
        <v>6.0739999999999998</v>
      </c>
      <c r="L27" s="4">
        <v>2.4350000000000001</v>
      </c>
      <c r="M27" s="4">
        <v>8.5090000000000003</v>
      </c>
      <c r="N27" s="4">
        <v>6.0739999999999998</v>
      </c>
      <c r="O27" s="4">
        <v>2.4350000000000001</v>
      </c>
      <c r="P27" s="58">
        <f>M27/F27</f>
        <v>0.14670689655172414</v>
      </c>
    </row>
    <row r="28" spans="1:16">
      <c r="A28" s="1">
        <f t="shared" si="0"/>
        <v>22</v>
      </c>
      <c r="B28" s="1" t="s">
        <v>96</v>
      </c>
      <c r="C28" s="1" t="s">
        <v>28</v>
      </c>
      <c r="D28" s="1">
        <v>14</v>
      </c>
      <c r="E28" s="1"/>
      <c r="F28" s="37">
        <f>[1]МКД!$H$15</f>
        <v>24</v>
      </c>
      <c r="G28" s="4">
        <v>0.67199999999999971</v>
      </c>
      <c r="H28" s="4">
        <v>3.4009999999999998</v>
      </c>
      <c r="I28" s="4">
        <v>-2.7290000000000001</v>
      </c>
      <c r="J28" s="4">
        <v>0.67199999999999971</v>
      </c>
      <c r="K28" s="4">
        <v>3.4009999999999998</v>
      </c>
      <c r="L28" s="4">
        <v>-2.7290000000000001</v>
      </c>
      <c r="M28" s="4">
        <v>0.67199999999999971</v>
      </c>
      <c r="N28" s="4">
        <v>3.4009999999999998</v>
      </c>
      <c r="O28" s="4">
        <v>-2.7290000000000001</v>
      </c>
      <c r="P28" s="58">
        <f>M28/F28</f>
        <v>2.7999999999999987E-2</v>
      </c>
    </row>
    <row r="29" spans="1:16">
      <c r="A29" s="1">
        <f t="shared" si="0"/>
        <v>23</v>
      </c>
      <c r="B29" s="1" t="s">
        <v>96</v>
      </c>
      <c r="C29" s="1" t="s">
        <v>99</v>
      </c>
      <c r="D29" s="1">
        <v>3</v>
      </c>
      <c r="E29" s="1"/>
      <c r="F29" s="37">
        <f>[2]МКД!$H$69</f>
        <v>49</v>
      </c>
      <c r="G29" s="4">
        <v>0.66500000000000004</v>
      </c>
      <c r="H29" s="4">
        <v>22.486000000000001</v>
      </c>
      <c r="I29" s="4">
        <v>-21.821000000000002</v>
      </c>
      <c r="J29" s="4">
        <v>0.66500000000000004</v>
      </c>
      <c r="K29" s="4">
        <v>22.486000000000001</v>
      </c>
      <c r="L29" s="4">
        <v>-21.821000000000002</v>
      </c>
      <c r="M29" s="4">
        <v>0.66500000000000004</v>
      </c>
      <c r="N29" s="4">
        <v>22.486000000000001</v>
      </c>
      <c r="O29" s="4">
        <v>-21.821000000000002</v>
      </c>
      <c r="P29" s="58">
        <f>M29/F29</f>
        <v>1.3571428571428573E-2</v>
      </c>
    </row>
    <row r="30" spans="1:16">
      <c r="A30" s="1">
        <f t="shared" si="0"/>
        <v>24</v>
      </c>
      <c r="B30" s="1" t="s">
        <v>96</v>
      </c>
      <c r="C30" s="1" t="s">
        <v>28</v>
      </c>
      <c r="D30" s="1">
        <v>2</v>
      </c>
      <c r="E30" s="1"/>
      <c r="F30" s="111">
        <f>[1]МКД!$H$8</f>
        <v>16</v>
      </c>
      <c r="G30" s="4">
        <v>-0.20900000000000007</v>
      </c>
      <c r="H30" s="4">
        <v>2.331</v>
      </c>
      <c r="I30" s="4">
        <v>-2.54</v>
      </c>
      <c r="J30" s="4">
        <v>-0.20900000000000007</v>
      </c>
      <c r="K30" s="4">
        <v>2.331</v>
      </c>
      <c r="L30" s="4">
        <v>-2.54</v>
      </c>
      <c r="M30" s="4">
        <v>-0.20900000000000007</v>
      </c>
      <c r="N30" s="4">
        <v>2.331</v>
      </c>
      <c r="O30" s="4">
        <v>-2.54</v>
      </c>
      <c r="P30" s="58">
        <f>M30/F30</f>
        <v>-1.3062500000000005E-2</v>
      </c>
    </row>
    <row r="31" spans="1:16">
      <c r="A31" s="1">
        <f t="shared" si="0"/>
        <v>25</v>
      </c>
      <c r="B31" s="1" t="s">
        <v>96</v>
      </c>
      <c r="C31" s="1" t="s">
        <v>71</v>
      </c>
      <c r="D31" s="1">
        <v>34</v>
      </c>
      <c r="E31" s="44"/>
      <c r="F31" s="37">
        <f>[1]МКД!$H$94</f>
        <v>84</v>
      </c>
      <c r="G31" s="4">
        <v>-38.631999999999998</v>
      </c>
      <c r="H31" s="4">
        <v>26.273</v>
      </c>
      <c r="I31" s="4">
        <v>-64.905000000000001</v>
      </c>
      <c r="J31" s="4">
        <v>-38.631999999999998</v>
      </c>
      <c r="K31" s="4">
        <v>26.273</v>
      </c>
      <c r="L31" s="4">
        <v>-64.905000000000001</v>
      </c>
      <c r="M31" s="4">
        <v>-38.631999999999998</v>
      </c>
      <c r="N31" s="4">
        <v>26.273</v>
      </c>
      <c r="O31" s="4">
        <v>-64.905000000000001</v>
      </c>
      <c r="P31" s="58">
        <f>M31/F31</f>
        <v>-0.45990476190476187</v>
      </c>
    </row>
    <row r="32" spans="1:16" s="42" customFormat="1">
      <c r="A32" s="41"/>
      <c r="B32" s="41" t="s">
        <v>75</v>
      </c>
      <c r="C32" s="41"/>
      <c r="D32" s="41"/>
      <c r="E32" s="41"/>
      <c r="F32" s="41">
        <f>SUM(F7:F31)</f>
        <v>1035</v>
      </c>
      <c r="G32" s="43">
        <f t="shared" ref="G32:O32" si="1">SUM(G7:G31)</f>
        <v>2251.933</v>
      </c>
      <c r="H32" s="43">
        <f t="shared" si="1"/>
        <v>985.81899999999985</v>
      </c>
      <c r="I32" s="43">
        <f t="shared" si="1"/>
        <v>1266.1139999999998</v>
      </c>
      <c r="J32" s="43">
        <f t="shared" si="1"/>
        <v>2251.933</v>
      </c>
      <c r="K32" s="43">
        <f t="shared" si="1"/>
        <v>985.81899999999985</v>
      </c>
      <c r="L32" s="43">
        <f t="shared" si="1"/>
        <v>1266.1139999999998</v>
      </c>
      <c r="M32" s="43">
        <f t="shared" si="1"/>
        <v>2251.933</v>
      </c>
      <c r="N32" s="43">
        <f t="shared" si="1"/>
        <v>985.81899999999985</v>
      </c>
      <c r="O32" s="43">
        <f t="shared" si="1"/>
        <v>1266.1139999999998</v>
      </c>
      <c r="P32" s="48"/>
    </row>
    <row r="33" spans="2:21" s="253" customFormat="1" ht="12.75">
      <c r="B33" s="254" t="s">
        <v>137</v>
      </c>
    </row>
    <row r="34" spans="2:21" s="253" customFormat="1" ht="28.5" customHeight="1">
      <c r="B34" s="175" t="s">
        <v>145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55"/>
      <c r="O34" s="255"/>
      <c r="P34" s="255"/>
      <c r="Q34" s="255"/>
      <c r="R34" s="255"/>
      <c r="S34" s="255"/>
      <c r="T34" s="255"/>
      <c r="U34" s="255"/>
    </row>
  </sheetData>
  <autoFilter ref="C5:D32"/>
  <sortState ref="C7:P31">
    <sortCondition descending="1" ref="P7:P31"/>
  </sortState>
  <mergeCells count="20">
    <mergeCell ref="B34:M34"/>
    <mergeCell ref="F4:F6"/>
    <mergeCell ref="P4:P6"/>
    <mergeCell ref="J4:L4"/>
    <mergeCell ref="J5:J6"/>
    <mergeCell ref="K5:L5"/>
    <mergeCell ref="G4:I4"/>
    <mergeCell ref="G5:G6"/>
    <mergeCell ref="H5:I5"/>
    <mergeCell ref="M4:O4"/>
    <mergeCell ref="M5:M6"/>
    <mergeCell ref="N5:O5"/>
    <mergeCell ref="A4:A6"/>
    <mergeCell ref="B4:B6"/>
    <mergeCell ref="C4:E4"/>
    <mergeCell ref="C5:C6"/>
    <mergeCell ref="D5:D6"/>
    <mergeCell ref="E5:E6"/>
    <mergeCell ref="D2:F2"/>
    <mergeCell ref="C1:O1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СВОД</vt:lpstr>
      <vt:lpstr>ООО "Базис"</vt:lpstr>
      <vt:lpstr>ООО "Ненецкая УК"</vt:lpstr>
      <vt:lpstr>ООО "Коми-Сервис"</vt:lpstr>
      <vt:lpstr>ООО "Наш дом"</vt:lpstr>
      <vt:lpstr>ООО УК "Уютный дом"</vt:lpstr>
      <vt:lpstr>ООО УК "Нарьян-Марстрой"</vt:lpstr>
      <vt:lpstr>ООО УК "ПОКиТС" </vt:lpstr>
      <vt:lpstr>Нарьян-Марское МУ ПОК и ТС</vt:lpstr>
      <vt:lpstr>ООО "Аврора"</vt:lpstr>
      <vt:lpstr>ТСЖ "Дворянское гнездо"</vt:lpstr>
      <vt:lpstr>ООО "Содружество"</vt:lpstr>
      <vt:lpstr>ООО УК "МКД-Сервис"</vt:lpstr>
      <vt:lpstr>'ООО "Аврора"'!Область_печати</vt:lpstr>
      <vt:lpstr>'ООО УК "ПОКиТС" '!Область_печати</vt:lpstr>
      <vt:lpstr>СВОД!Область_печати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cp:lastPrinted>2019-03-29T11:18:31Z</cp:lastPrinted>
  <dcterms:created xsi:type="dcterms:W3CDTF">2018-08-07T12:00:09Z</dcterms:created>
  <dcterms:modified xsi:type="dcterms:W3CDTF">2019-03-29T11:26:59Z</dcterms:modified>
</cp:coreProperties>
</file>